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3250" windowHeight="11715" tabRatio="723" firstSheet="4" activeTab="5"/>
  </bookViews>
  <sheets>
    <sheet name="List1" sheetId="1" state="hidden" r:id="rId1"/>
    <sheet name="Ministarstvo kulture izvor 11" sheetId="2" state="hidden" r:id="rId2"/>
    <sheet name="Proračun rashoda 2022" sheetId="3" state="hidden" r:id="rId3"/>
    <sheet name="Proračun prihoda 2022" sheetId="4" state="hidden" r:id="rId4"/>
    <sheet name="Rebalans rashoda" sheetId="5" r:id="rId5"/>
    <sheet name="Rebalans prihoda " sheetId="6" r:id="rId6"/>
  </sheets>
  <definedNames>
    <definedName name="__CDSG1__" localSheetId="1">'Ministarstvo kulture izvor 11'!$A$8:$K$74</definedName>
    <definedName name="__CDSG1__">'List1'!$A$8:$M$74</definedName>
    <definedName name="__CDSG2__" localSheetId="1">'Ministarstvo kulture izvor 11'!$A$10:$K$73</definedName>
    <definedName name="__CDSG2__">'List1'!$A$10:$M$73</definedName>
    <definedName name="__CDSG3__" localSheetId="1">'Ministarstvo kulture izvor 11'!$A$12:$K$72</definedName>
    <definedName name="__CDSG3__">'List1'!$A$12:$M$72</definedName>
    <definedName name="__CDSG4__" localSheetId="1">'Ministarstvo kulture izvor 11'!$A$14:$K$71</definedName>
    <definedName name="__CDSG4__">'List1'!$A$14:$M$71</definedName>
    <definedName name="__CDSG5__" localSheetId="1">'Ministarstvo kulture izvor 11'!$A$16:$K$70</definedName>
    <definedName name="__CDSG5__">'List1'!$A$16:$M$70</definedName>
    <definedName name="__CDSG6__" localSheetId="1">'Ministarstvo kulture izvor 11'!$A$18:$K$68</definedName>
    <definedName name="__CDSG6__">'List1'!$A$18:$M$67</definedName>
    <definedName name="__CDSG7__" localSheetId="1">'Ministarstvo kulture izvor 11'!$A$20:$K$29</definedName>
    <definedName name="__CDSG7__">'List1'!$A$20:$M$28</definedName>
    <definedName name="__CDSG8__" localSheetId="1">'Ministarstvo kulture izvor 11'!$A$22:$K$22</definedName>
    <definedName name="__CDSG8__">'List1'!$A$22:$M$22</definedName>
    <definedName name="__CDSNaslov__" localSheetId="1">'Ministarstvo kulture izvor 11'!$A$1:$K$7</definedName>
    <definedName name="__CDSNaslov__">'List1'!$A$1:$M$7</definedName>
    <definedName name="__Main__" localSheetId="1">'Ministarstvo kulture izvor 11'!$A$1:$K$78</definedName>
    <definedName name="__Main__">'List1'!$A$1:$M$78</definedName>
    <definedName name="_xlfn.AGGREGATE" hidden="1">#NAME?</definedName>
    <definedName name="_xlnm.Print_Titles" localSheetId="0">'List1'!$6:$7</definedName>
    <definedName name="_xlnm.Print_Titles" localSheetId="1">'Ministarstvo kulture izvor 11'!$6:$7</definedName>
  </definedNames>
  <calcPr fullCalcOnLoad="1"/>
</workbook>
</file>

<file path=xl/sharedStrings.xml><?xml version="1.0" encoding="utf-8"?>
<sst xmlns="http://schemas.openxmlformats.org/spreadsheetml/2006/main" count="977" uniqueCount="233">
  <si>
    <t>3</t>
  </si>
  <si>
    <t>11</t>
  </si>
  <si>
    <t>31</t>
  </si>
  <si>
    <t>32</t>
  </si>
  <si>
    <t>34</t>
  </si>
  <si>
    <t>40</t>
  </si>
  <si>
    <t>009</t>
  </si>
  <si>
    <t>3111</t>
  </si>
  <si>
    <t>3112</t>
  </si>
  <si>
    <t>3113</t>
  </si>
  <si>
    <t>3121</t>
  </si>
  <si>
    <t>3132</t>
  </si>
  <si>
    <t>3133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</si>
  <si>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</si>
  <si>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</si>
  <si>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</si>
  <si>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</si>
  <si>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</si>
  <si>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</si>
  <si>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</si>
  <si>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</si>
  <si>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</si>
  <si>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3226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</si>
  <si>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</si>
  <si>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</si>
  <si>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</si>
  <si>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</si>
  <si>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</si>
  <si>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</si>
  <si>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</si>
  <si>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</si>
  <si>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</si>
  <si>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</si>
  <si>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</si>
  <si>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</si>
  <si>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</si>
  <si>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</si>
  <si>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</si>
  <si>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</si>
  <si>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3296</t>
  </si>
  <si>
    <t>3299</t>
  </si>
  <si>
    <t>3423</t>
  </si>
  <si>
    <t>3431</t>
  </si>
  <si>
    <t>3432</t>
  </si>
  <si>
    <t>3433</t>
  </si>
  <si>
    <t>3434</t>
  </si>
  <si>
    <t>3903</t>
  </si>
  <si>
    <t>Glava</t>
  </si>
  <si>
    <t>I-PIJ8</t>
  </si>
  <si>
    <t>Izvori</t>
  </si>
  <si>
    <t>Program</t>
  </si>
  <si>
    <t>Energija</t>
  </si>
  <si>
    <t>Ustanova</t>
  </si>
  <si>
    <t>A78000009</t>
  </si>
  <si>
    <t>SVEUKUPNO</t>
  </si>
  <si>
    <t>SVEUKUPNO:</t>
  </si>
  <si>
    <t>Ostale usluge</t>
  </si>
  <si>
    <t>Reprezentacija</t>
  </si>
  <si>
    <t>Zatezne kamate</t>
  </si>
  <si>
    <t>Konto 1. razina</t>
  </si>
  <si>
    <t>Konto 2. razina</t>
  </si>
  <si>
    <t>Konto 4. razina</t>
  </si>
  <si>
    <t>Komunalne usluge</t>
  </si>
  <si>
    <t>MUZEJI I GALERIJE</t>
  </si>
  <si>
    <t>Premije osiguranja</t>
  </si>
  <si>
    <t>Rashodi poslovanja</t>
  </si>
  <si>
    <t>Financijski rashodi</t>
  </si>
  <si>
    <t>Materijalni rashodi</t>
  </si>
  <si>
    <t>Pristojbe i naknade</t>
  </si>
  <si>
    <t>MINISTARSTVO KULTURE</t>
  </si>
  <si>
    <t>Materijal i sirovine</t>
  </si>
  <si>
    <t>Prijedlog plana 2020</t>
  </si>
  <si>
    <t>Prijedlog plana 2021</t>
  </si>
  <si>
    <t>Prijedlog plana 2022</t>
  </si>
  <si>
    <t>Rashodi za zaposlene</t>
  </si>
  <si>
    <t>Zakupnine i najamnine</t>
  </si>
  <si>
    <t>Iz proračuna</t>
  </si>
  <si>
    <t>Hrvatski povijesni muzej</t>
  </si>
  <si>
    <t>Sitni inventar i auto gume</t>
  </si>
  <si>
    <t>Ostali rashodi za zaposlene</t>
  </si>
  <si>
    <t>Plaće u naravi</t>
  </si>
  <si>
    <t>Intelektualne i osobne usluge</t>
  </si>
  <si>
    <t>MUZEJSKA I VIZUALNA DJELATNOST</t>
  </si>
  <si>
    <t>Računalne usluge</t>
  </si>
  <si>
    <t>Zdravstvene i veterinarske usluge</t>
  </si>
  <si>
    <t>Članarine i norme</t>
  </si>
  <si>
    <t>Službena putovanja</t>
  </si>
  <si>
    <t>ADMIN. I UPRAV. Hrv. povijesni muzej</t>
  </si>
  <si>
    <t>Ostali nespomenuti rashodi poslovanja</t>
  </si>
  <si>
    <t>Ostali nespomenuti financijski rashodi</t>
  </si>
  <si>
    <t>Vojna sredstva za jednokratnu upotrebu</t>
  </si>
  <si>
    <t>Aktivnost(int.šifra)</t>
  </si>
  <si>
    <t>Plaće za redovan rad</t>
  </si>
  <si>
    <t>Bankarske usluge i usluge platnog prometa</t>
  </si>
  <si>
    <t>Doprinosi za obvezno zdravstveno osiguranje</t>
  </si>
  <si>
    <t>Uredski materijal i ostali materijalni rashodi</t>
  </si>
  <si>
    <t>Plaće za prekovremeni rad</t>
  </si>
  <si>
    <t>Troškovi sudskih postupaka</t>
  </si>
  <si>
    <t>Usluge promidžbe i informiranja</t>
  </si>
  <si>
    <t>Stručno usavršavanje zaposlenika</t>
  </si>
  <si>
    <t>Usluge telefona, pošte i prijevoza</t>
  </si>
  <si>
    <t>Ostale naknade troškova zaposlenima</t>
  </si>
  <si>
    <t>Kamate za primljene kredite i zajm.od kred.i ostalih fin.inst.izvan jav.sektora</t>
  </si>
  <si>
    <t>Službena, radna i zaštitna odjeća i obuća</t>
  </si>
  <si>
    <t>Usluge tekućeg i investicijskog održavanja</t>
  </si>
  <si>
    <t>Naknade troškova osobama izvan radnog odnosa</t>
  </si>
  <si>
    <t>Naknade za prijevoz, za rad na terenu i odvojeni život</t>
  </si>
  <si>
    <t>Doprinosi za obvezno osiguranje u slučaju nezaposlenosti</t>
  </si>
  <si>
    <t>Materijal i dijelovi za tekuće i investicijsko održavanje</t>
  </si>
  <si>
    <t>Negativne tečajne razlike i razlike zbog primjene valutne klauzule</t>
  </si>
  <si>
    <t>Naknade za rad predstavničkih i izvršnih tijela, povjerenstava i slično</t>
  </si>
  <si>
    <t>PLAN PRORAČUNA ZA 2020. I PROJEKCIJA ZA 2021. I 2022. GODINU</t>
  </si>
  <si>
    <t>ODOBRENO 2019.</t>
  </si>
  <si>
    <t>Plaće za posebne uvjete rada</t>
  </si>
  <si>
    <t>42</t>
  </si>
  <si>
    <t>Rashodi za nabavu proizvedene dugotrajne imovine</t>
  </si>
  <si>
    <t>Uredska i računalna oprema</t>
  </si>
  <si>
    <t>Knjige</t>
  </si>
  <si>
    <t>Muzejski izlošci</t>
  </si>
  <si>
    <t>Vlastiti prihodi</t>
  </si>
  <si>
    <t>A78000000</t>
  </si>
  <si>
    <t>A78000109</t>
  </si>
  <si>
    <t>PLAN I OSTVARENJE PRORAČUNA ZA 2021</t>
  </si>
  <si>
    <t>Siječanj 2021</t>
  </si>
  <si>
    <t>Veljača 2021</t>
  </si>
  <si>
    <t>Ožujak 2021</t>
  </si>
  <si>
    <t>Travanj 2021</t>
  </si>
  <si>
    <t>Svibanj 2021</t>
  </si>
  <si>
    <t>Lipanj 2021</t>
  </si>
  <si>
    <t>Srpanj 2021</t>
  </si>
  <si>
    <t>Kolovoz 2021</t>
  </si>
  <si>
    <t>Rujan 2021</t>
  </si>
  <si>
    <t>Listopad 2021</t>
  </si>
  <si>
    <t>Studeni 2021</t>
  </si>
  <si>
    <t>Prosinac 2021</t>
  </si>
  <si>
    <t>Ukupno siječanj -prosinac 2021</t>
  </si>
  <si>
    <t>Ostaje 2021</t>
  </si>
  <si>
    <t>ODOBRENO 2020.</t>
  </si>
  <si>
    <t>3114</t>
  </si>
  <si>
    <t>MUZEJI PROG.DJ. Hrv. povijesni muzej</t>
  </si>
  <si>
    <t>4123</t>
  </si>
  <si>
    <t>Licence</t>
  </si>
  <si>
    <t>4124</t>
  </si>
  <si>
    <t>Ostala prava</t>
  </si>
  <si>
    <t>4221</t>
  </si>
  <si>
    <t>Uredska oprema i namještaj</t>
  </si>
  <si>
    <t>A78000209</t>
  </si>
  <si>
    <t>ADMIN. I UPRAVLJANE OSTALI IZVORI HPM</t>
  </si>
  <si>
    <t>43</t>
  </si>
  <si>
    <t>Ostali prihodi</t>
  </si>
  <si>
    <t>4241</t>
  </si>
  <si>
    <t>4243</t>
  </si>
  <si>
    <t>Muzejski izlošci i predmeti prirodnih rijetkosti</t>
  </si>
  <si>
    <t>A78000409</t>
  </si>
  <si>
    <t>*MUZEJI PROG.DJ. OST.IZVORI Hrv. povijesni muzej</t>
  </si>
  <si>
    <t>52</t>
  </si>
  <si>
    <t>Pomoći grad. i župan</t>
  </si>
  <si>
    <t>A78000609</t>
  </si>
  <si>
    <t>SANACIJA ŠTETA OD POTRESA MUZEJI Hrv. povijesni muzej</t>
  </si>
  <si>
    <t>5761</t>
  </si>
  <si>
    <t>Fond solidarnosti Europske unije - potres ožujak 2020.</t>
  </si>
  <si>
    <t>4511</t>
  </si>
  <si>
    <t>Dodatna ulaganja na građevinskim objektima</t>
  </si>
  <si>
    <t>suma</t>
  </si>
  <si>
    <t>Plan 2022</t>
  </si>
  <si>
    <t>Siječanj 2022</t>
  </si>
  <si>
    <t>Veljača 2022</t>
  </si>
  <si>
    <t>Ožujak 2022</t>
  </si>
  <si>
    <t xml:space="preserve">Travanj 2022 </t>
  </si>
  <si>
    <t xml:space="preserve">Svibanj 2022 </t>
  </si>
  <si>
    <t>Lipanj 2022</t>
  </si>
  <si>
    <t>Srpanj 2022</t>
  </si>
  <si>
    <t>Kolovoz 2022</t>
  </si>
  <si>
    <t>Rujan 2022</t>
  </si>
  <si>
    <t>Listopad 2022</t>
  </si>
  <si>
    <t>Studeni 2022</t>
  </si>
  <si>
    <t>Prosinac 2022</t>
  </si>
  <si>
    <t>Ukupno Siječanj - Prosinac</t>
  </si>
  <si>
    <t>Ostaje 2022</t>
  </si>
  <si>
    <t>PLAN FINANCIJSKIH RASHODA ZA 2022.</t>
  </si>
  <si>
    <t xml:space="preserve">Komunalne usluge </t>
  </si>
  <si>
    <t xml:space="preserve">Reprezentacija </t>
  </si>
  <si>
    <t>PLAN 2022.</t>
  </si>
  <si>
    <t>6711</t>
  </si>
  <si>
    <t>Prihodi iz nadležnog proračuna za financiranje rashoda poslovanja</t>
  </si>
  <si>
    <t>6712</t>
  </si>
  <si>
    <t>Prihodi iz nadležnog proračuna za fin. rashoda za nabavu nefinac. imovine</t>
  </si>
  <si>
    <t>6413</t>
  </si>
  <si>
    <t>Kamate na oročena sredstva i depozite po viđenju</t>
  </si>
  <si>
    <t>6415</t>
  </si>
  <si>
    <t>Prihodi od pozitivnih tečajnih razlika i razlika zbog primjene valutne klauzule</t>
  </si>
  <si>
    <t>6614</t>
  </si>
  <si>
    <t>Prihodi od prodaje proizvoda i robe</t>
  </si>
  <si>
    <t>6615</t>
  </si>
  <si>
    <t>Prihodi od pruženih usluga</t>
  </si>
  <si>
    <t>6526</t>
  </si>
  <si>
    <t>Ostali nespomenuti prihodi</t>
  </si>
  <si>
    <t>6361</t>
  </si>
  <si>
    <t>Tekuće pomoći proračunskim korisnicima iz proračuna koji im nije nadležan</t>
  </si>
  <si>
    <t>6324</t>
  </si>
  <si>
    <t>Kapitalne pomoći od institucija i tijela  EU</t>
  </si>
  <si>
    <t>s</t>
  </si>
  <si>
    <t>DONOS (PLAN):</t>
  </si>
  <si>
    <t>ODNOS (PLAN):</t>
  </si>
  <si>
    <t>RASPOLOŽIVI PLAN:</t>
  </si>
  <si>
    <t>PLAN FINANCIJSKIH PRIHODA ZA 2022.</t>
  </si>
  <si>
    <t>Ostaje:</t>
  </si>
  <si>
    <t xml:space="preserve">Izvršenje: </t>
  </si>
  <si>
    <t xml:space="preserve">Dodatna ulaganja na građevinskim objektima </t>
  </si>
  <si>
    <t>Rebalans povećanje 2022</t>
  </si>
  <si>
    <t xml:space="preserve">Ostaje 2022 rebalans </t>
  </si>
  <si>
    <t xml:space="preserve">Iznos povećanja </t>
  </si>
  <si>
    <t xml:space="preserve">Materijal i dijelovi za tekuće i investicijsko održavanje </t>
  </si>
  <si>
    <t xml:space="preserve">Usluga tekućeg i investicijskog održavanja </t>
  </si>
  <si>
    <t xml:space="preserve">Zakupnine i najamnine za građevniske objekte </t>
  </si>
  <si>
    <t xml:space="preserve">Oprema </t>
  </si>
  <si>
    <t xml:space="preserve">Ostale zatezne kamate </t>
  </si>
  <si>
    <t xml:space="preserve">troškovi sudskih postupaka </t>
  </si>
  <si>
    <t>Roba (Izvor 61)</t>
  </si>
  <si>
    <t>Ostale usluge (Izvor 61)</t>
  </si>
  <si>
    <t>Plan 2022 po I rebalansu</t>
  </si>
  <si>
    <t>Plan 2022 po II rebalansu</t>
  </si>
  <si>
    <t>4223</t>
  </si>
  <si>
    <t>Oprema za održavanje i zaštitu</t>
  </si>
  <si>
    <t>Iznos povećanja/smanjenja u odnosu na plan 2022</t>
  </si>
  <si>
    <t>Iznos povećanja/smanjenja u odnosu na plan 2022 po II rebalansu</t>
  </si>
  <si>
    <t>10=9-6</t>
  </si>
  <si>
    <t>8=7-6</t>
  </si>
  <si>
    <t>11=9-7</t>
  </si>
  <si>
    <t>Aktivnost (int.šifra)</t>
  </si>
  <si>
    <t>Iznos povećanja/smanjenja u odnosu na plan 2022 po I rebalansu</t>
  </si>
  <si>
    <t>PLAN FINANCIJSKIH RASHODA ZA 2022. GODINU PO II REBALANSU</t>
  </si>
  <si>
    <t>PLAN FINANCIJSKIH PRIHODA ZA 2022. GODINU PO II REBALANSU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</si>
</sst>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#,##0_ ;[Red]\-#,##0\ "/>
    <numFmt numFmtId="166" formatCode="#,##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Arial"/>
      <family val="2"/>
    </font>
    <font>
      <b/>
      <sz val="15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7"/>
      <color theme="1"/>
      <name val="Arial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3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6" fillId="0" borderId="0" xfId="0" applyFont="1" applyAlignment="1">
      <alignment horizontal="right"/>
    </xf>
    <xf numFmtId="0" fontId="68" fillId="33" borderId="10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164" fontId="68" fillId="33" borderId="10" xfId="0" applyNumberFormat="1" applyFont="1" applyFill="1" applyBorder="1" applyAlignment="1">
      <alignment horizontal="center" wrapText="1"/>
    </xf>
    <xf numFmtId="164" fontId="70" fillId="0" borderId="0" xfId="0" applyNumberFormat="1" applyFont="1" applyAlignment="1">
      <alignment horizontal="right"/>
    </xf>
    <xf numFmtId="0" fontId="71" fillId="0" borderId="0" xfId="0" applyFont="1" applyAlignment="1">
      <alignment horizontal="center"/>
    </xf>
    <xf numFmtId="165" fontId="69" fillId="33" borderId="10" xfId="0" applyNumberFormat="1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0" fillId="33" borderId="10" xfId="0" applyFont="1" applyFill="1" applyBorder="1" applyAlignment="1">
      <alignment/>
    </xf>
    <xf numFmtId="164" fontId="70" fillId="33" borderId="10" xfId="0" applyNumberFormat="1" applyFont="1" applyFill="1" applyBorder="1" applyAlignment="1">
      <alignment/>
    </xf>
    <xf numFmtId="0" fontId="70" fillId="34" borderId="10" xfId="0" applyFont="1" applyFill="1" applyBorder="1" applyAlignment="1">
      <alignment/>
    </xf>
    <xf numFmtId="164" fontId="70" fillId="34" borderId="10" xfId="0" applyNumberFormat="1" applyFont="1" applyFill="1" applyBorder="1" applyAlignment="1">
      <alignment/>
    </xf>
    <xf numFmtId="0" fontId="73" fillId="0" borderId="10" xfId="0" applyFont="1" applyBorder="1" applyAlignment="1">
      <alignment/>
    </xf>
    <xf numFmtId="164" fontId="73" fillId="0" borderId="10" xfId="0" applyNumberFormat="1" applyFont="1" applyBorder="1" applyAlignment="1">
      <alignment horizontal="right"/>
    </xf>
    <xf numFmtId="4" fontId="73" fillId="0" borderId="10" xfId="0" applyNumberFormat="1" applyFont="1" applyFill="1" applyBorder="1" applyAlignment="1">
      <alignment/>
    </xf>
    <xf numFmtId="0" fontId="70" fillId="0" borderId="10" xfId="0" applyFont="1" applyFill="1" applyBorder="1" applyAlignment="1">
      <alignment/>
    </xf>
    <xf numFmtId="4" fontId="73" fillId="0" borderId="10" xfId="0" applyNumberFormat="1" applyFont="1" applyBorder="1" applyAlignment="1">
      <alignment/>
    </xf>
    <xf numFmtId="4" fontId="73" fillId="0" borderId="10" xfId="0" applyNumberFormat="1" applyFont="1" applyFill="1" applyBorder="1" applyAlignment="1">
      <alignment horizontal="right"/>
    </xf>
    <xf numFmtId="4" fontId="74" fillId="0" borderId="10" xfId="0" applyNumberFormat="1" applyFont="1" applyFill="1" applyBorder="1" applyAlignment="1">
      <alignment horizontal="right"/>
    </xf>
    <xf numFmtId="0" fontId="73" fillId="0" borderId="10" xfId="0" applyFont="1" applyFill="1" applyBorder="1" applyAlignment="1">
      <alignment horizontal="left"/>
    </xf>
    <xf numFmtId="0" fontId="73" fillId="0" borderId="10" xfId="0" applyFont="1" applyFill="1" applyBorder="1" applyAlignment="1">
      <alignment/>
    </xf>
    <xf numFmtId="4" fontId="70" fillId="0" borderId="10" xfId="0" applyNumberFormat="1" applyFont="1" applyFill="1" applyBorder="1" applyAlignment="1">
      <alignment/>
    </xf>
    <xf numFmtId="164" fontId="73" fillId="0" borderId="10" xfId="0" applyNumberFormat="1" applyFont="1" applyBorder="1" applyAlignment="1">
      <alignment/>
    </xf>
    <xf numFmtId="0" fontId="73" fillId="0" borderId="0" xfId="0" applyFont="1" applyAlignment="1">
      <alignment/>
    </xf>
    <xf numFmtId="0" fontId="73" fillId="33" borderId="10" xfId="0" applyFont="1" applyFill="1" applyBorder="1" applyAlignment="1">
      <alignment/>
    </xf>
    <xf numFmtId="0" fontId="73" fillId="0" borderId="10" xfId="0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64" fontId="75" fillId="0" borderId="10" xfId="0" applyNumberFormat="1" applyFont="1" applyBorder="1" applyAlignment="1">
      <alignment horizontal="right"/>
    </xf>
    <xf numFmtId="0" fontId="76" fillId="35" borderId="10" xfId="0" applyFont="1" applyFill="1" applyBorder="1" applyAlignment="1">
      <alignment/>
    </xf>
    <xf numFmtId="164" fontId="76" fillId="35" borderId="10" xfId="0" applyNumberFormat="1" applyFont="1" applyFill="1" applyBorder="1" applyAlignment="1">
      <alignment/>
    </xf>
    <xf numFmtId="0" fontId="71" fillId="35" borderId="10" xfId="0" applyFont="1" applyFill="1" applyBorder="1" applyAlignment="1">
      <alignment/>
    </xf>
    <xf numFmtId="164" fontId="71" fillId="35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0" fontId="64" fillId="0" borderId="10" xfId="0" applyFont="1" applyBorder="1" applyAlignment="1">
      <alignment/>
    </xf>
    <xf numFmtId="0" fontId="67" fillId="4" borderId="10" xfId="0" applyFont="1" applyFill="1" applyBorder="1" applyAlignment="1">
      <alignment/>
    </xf>
    <xf numFmtId="164" fontId="67" fillId="4" borderId="10" xfId="0" applyNumberFormat="1" applyFont="1" applyFill="1" applyBorder="1" applyAlignment="1">
      <alignment/>
    </xf>
    <xf numFmtId="0" fontId="77" fillId="5" borderId="10" xfId="0" applyFont="1" applyFill="1" applyBorder="1" applyAlignment="1">
      <alignment/>
    </xf>
    <xf numFmtId="164" fontId="77" fillId="5" borderId="10" xfId="0" applyNumberFormat="1" applyFont="1" applyFill="1" applyBorder="1" applyAlignment="1">
      <alignment/>
    </xf>
    <xf numFmtId="0" fontId="78" fillId="5" borderId="10" xfId="0" applyFont="1" applyFill="1" applyBorder="1" applyAlignment="1">
      <alignment/>
    </xf>
    <xf numFmtId="164" fontId="78" fillId="5" borderId="10" xfId="0" applyNumberFormat="1" applyFont="1" applyFill="1" applyBorder="1" applyAlignment="1">
      <alignment/>
    </xf>
    <xf numFmtId="0" fontId="78" fillId="6" borderId="10" xfId="0" applyFont="1" applyFill="1" applyBorder="1" applyAlignment="1">
      <alignment/>
    </xf>
    <xf numFmtId="164" fontId="78" fillId="6" borderId="10" xfId="0" applyNumberFormat="1" applyFont="1" applyFill="1" applyBorder="1" applyAlignment="1">
      <alignment/>
    </xf>
    <xf numFmtId="0" fontId="79" fillId="6" borderId="10" xfId="0" applyFont="1" applyFill="1" applyBorder="1" applyAlignment="1">
      <alignment/>
    </xf>
    <xf numFmtId="164" fontId="79" fillId="6" borderId="10" xfId="0" applyNumberFormat="1" applyFont="1" applyFill="1" applyBorder="1" applyAlignment="1">
      <alignment/>
    </xf>
    <xf numFmtId="0" fontId="79" fillId="7" borderId="10" xfId="0" applyFont="1" applyFill="1" applyBorder="1" applyAlignment="1">
      <alignment/>
    </xf>
    <xf numFmtId="164" fontId="79" fillId="7" borderId="10" xfId="0" applyNumberFormat="1" applyFont="1" applyFill="1" applyBorder="1" applyAlignment="1">
      <alignment/>
    </xf>
    <xf numFmtId="0" fontId="68" fillId="7" borderId="10" xfId="0" applyFont="1" applyFill="1" applyBorder="1" applyAlignment="1">
      <alignment/>
    </xf>
    <xf numFmtId="164" fontId="68" fillId="7" borderId="10" xfId="0" applyNumberFormat="1" applyFont="1" applyFill="1" applyBorder="1" applyAlignment="1">
      <alignment/>
    </xf>
    <xf numFmtId="0" fontId="68" fillId="33" borderId="10" xfId="0" applyFont="1" applyFill="1" applyBorder="1" applyAlignment="1">
      <alignment/>
    </xf>
    <xf numFmtId="164" fontId="68" fillId="33" borderId="10" xfId="0" applyNumberFormat="1" applyFont="1" applyFill="1" applyBorder="1" applyAlignment="1">
      <alignment/>
    </xf>
    <xf numFmtId="0" fontId="80" fillId="33" borderId="10" xfId="0" applyFont="1" applyFill="1" applyBorder="1" applyAlignment="1">
      <alignment/>
    </xf>
    <xf numFmtId="164" fontId="80" fillId="33" borderId="10" xfId="0" applyNumberFormat="1" applyFont="1" applyFill="1" applyBorder="1" applyAlignment="1">
      <alignment/>
    </xf>
    <xf numFmtId="0" fontId="80" fillId="34" borderId="10" xfId="0" applyFont="1" applyFill="1" applyBorder="1" applyAlignment="1">
      <alignment/>
    </xf>
    <xf numFmtId="164" fontId="80" fillId="34" borderId="10" xfId="0" applyNumberFormat="1" applyFont="1" applyFill="1" applyBorder="1" applyAlignment="1">
      <alignment/>
    </xf>
    <xf numFmtId="0" fontId="64" fillId="34" borderId="10" xfId="0" applyFont="1" applyFill="1" applyBorder="1" applyAlignment="1">
      <alignment/>
    </xf>
    <xf numFmtId="164" fontId="64" fillId="34" borderId="10" xfId="0" applyNumberFormat="1" applyFont="1" applyFill="1" applyBorder="1" applyAlignment="1">
      <alignment/>
    </xf>
    <xf numFmtId="0" fontId="75" fillId="0" borderId="10" xfId="0" applyFont="1" applyBorder="1" applyAlignment="1">
      <alignment/>
    </xf>
    <xf numFmtId="164" fontId="64" fillId="0" borderId="10" xfId="0" applyNumberFormat="1" applyFont="1" applyBorder="1" applyAlignment="1">
      <alignment/>
    </xf>
    <xf numFmtId="0" fontId="67" fillId="33" borderId="10" xfId="0" applyFont="1" applyFill="1" applyBorder="1" applyAlignment="1">
      <alignment vertical="center"/>
    </xf>
    <xf numFmtId="164" fontId="67" fillId="33" borderId="10" xfId="0" applyNumberFormat="1" applyFont="1" applyFill="1" applyBorder="1" applyAlignment="1">
      <alignment vertical="center"/>
    </xf>
    <xf numFmtId="4" fontId="75" fillId="0" borderId="10" xfId="0" applyNumberFormat="1" applyFont="1" applyFill="1" applyBorder="1" applyAlignment="1">
      <alignment horizontal="right"/>
    </xf>
    <xf numFmtId="4" fontId="75" fillId="0" borderId="10" xfId="0" applyNumberFormat="1" applyFont="1" applyFill="1" applyBorder="1" applyAlignment="1">
      <alignment/>
    </xf>
    <xf numFmtId="164" fontId="73" fillId="20" borderId="10" xfId="0" applyNumberFormat="1" applyFont="1" applyFill="1" applyBorder="1" applyAlignment="1">
      <alignment horizontal="right"/>
    </xf>
    <xf numFmtId="4" fontId="73" fillId="36" borderId="10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33" borderId="10" xfId="0" applyFont="1" applyFill="1" applyBorder="1" applyAlignment="1">
      <alignment horizontal="center" wrapText="1"/>
    </xf>
    <xf numFmtId="164" fontId="70" fillId="33" borderId="10" xfId="0" applyNumberFormat="1" applyFont="1" applyFill="1" applyBorder="1" applyAlignment="1">
      <alignment horizontal="center" wrapText="1"/>
    </xf>
    <xf numFmtId="49" fontId="70" fillId="33" borderId="10" xfId="0" applyNumberFormat="1" applyFont="1" applyFill="1" applyBorder="1" applyAlignment="1">
      <alignment horizontal="center" wrapText="1"/>
    </xf>
    <xf numFmtId="0" fontId="70" fillId="33" borderId="10" xfId="0" applyFont="1" applyFill="1" applyBorder="1" applyAlignment="1">
      <alignment horizontal="center"/>
    </xf>
    <xf numFmtId="165" fontId="70" fillId="33" borderId="10" xfId="0" applyNumberFormat="1" applyFont="1" applyFill="1" applyBorder="1" applyAlignment="1">
      <alignment horizontal="center"/>
    </xf>
    <xf numFmtId="0" fontId="70" fillId="35" borderId="10" xfId="0" applyFont="1" applyFill="1" applyBorder="1" applyAlignment="1">
      <alignment/>
    </xf>
    <xf numFmtId="164" fontId="70" fillId="35" borderId="10" xfId="0" applyNumberFormat="1" applyFont="1" applyFill="1" applyBorder="1" applyAlignment="1">
      <alignment/>
    </xf>
    <xf numFmtId="164" fontId="73" fillId="0" borderId="0" xfId="0" applyNumberFormat="1" applyFont="1" applyAlignment="1">
      <alignment/>
    </xf>
    <xf numFmtId="0" fontId="70" fillId="4" borderId="10" xfId="0" applyFont="1" applyFill="1" applyBorder="1" applyAlignment="1">
      <alignment/>
    </xf>
    <xf numFmtId="164" fontId="70" fillId="4" borderId="10" xfId="0" applyNumberFormat="1" applyFont="1" applyFill="1" applyBorder="1" applyAlignment="1">
      <alignment/>
    </xf>
    <xf numFmtId="0" fontId="70" fillId="5" borderId="10" xfId="0" applyFont="1" applyFill="1" applyBorder="1" applyAlignment="1">
      <alignment/>
    </xf>
    <xf numFmtId="164" fontId="70" fillId="5" borderId="10" xfId="0" applyNumberFormat="1" applyFont="1" applyFill="1" applyBorder="1" applyAlignment="1">
      <alignment/>
    </xf>
    <xf numFmtId="0" fontId="70" fillId="6" borderId="10" xfId="0" applyFont="1" applyFill="1" applyBorder="1" applyAlignment="1">
      <alignment/>
    </xf>
    <xf numFmtId="164" fontId="70" fillId="6" borderId="10" xfId="0" applyNumberFormat="1" applyFont="1" applyFill="1" applyBorder="1" applyAlignment="1">
      <alignment/>
    </xf>
    <xf numFmtId="0" fontId="70" fillId="7" borderId="10" xfId="0" applyFont="1" applyFill="1" applyBorder="1" applyAlignment="1">
      <alignment/>
    </xf>
    <xf numFmtId="164" fontId="70" fillId="7" borderId="10" xfId="0" applyNumberFormat="1" applyFont="1" applyFill="1" applyBorder="1" applyAlignment="1">
      <alignment/>
    </xf>
    <xf numFmtId="0" fontId="73" fillId="34" borderId="10" xfId="0" applyFont="1" applyFill="1" applyBorder="1" applyAlignment="1">
      <alignment/>
    </xf>
    <xf numFmtId="164" fontId="73" fillId="34" borderId="10" xfId="0" applyNumberFormat="1" applyFont="1" applyFill="1" applyBorder="1" applyAlignment="1">
      <alignment/>
    </xf>
    <xf numFmtId="0" fontId="70" fillId="33" borderId="10" xfId="0" applyFont="1" applyFill="1" applyBorder="1" applyAlignment="1">
      <alignment vertical="center"/>
    </xf>
    <xf numFmtId="164" fontId="70" fillId="33" borderId="10" xfId="0" applyNumberFormat="1" applyFont="1" applyFill="1" applyBorder="1" applyAlignment="1">
      <alignment vertical="center"/>
    </xf>
    <xf numFmtId="164" fontId="73" fillId="0" borderId="10" xfId="0" applyNumberFormat="1" applyFont="1" applyFill="1" applyBorder="1" applyAlignment="1">
      <alignment horizontal="right"/>
    </xf>
    <xf numFmtId="4" fontId="73" fillId="0" borderId="0" xfId="0" applyNumberFormat="1" applyFont="1" applyAlignment="1">
      <alignment/>
    </xf>
    <xf numFmtId="0" fontId="73" fillId="0" borderId="0" xfId="0" applyFont="1" applyFill="1" applyAlignment="1">
      <alignment/>
    </xf>
    <xf numFmtId="164" fontId="73" fillId="0" borderId="0" xfId="0" applyNumberFormat="1" applyFont="1" applyAlignment="1">
      <alignment horizontal="right"/>
    </xf>
    <xf numFmtId="164" fontId="73" fillId="0" borderId="12" xfId="0" applyNumberFormat="1" applyFont="1" applyBorder="1" applyAlignment="1">
      <alignment horizontal="right"/>
    </xf>
    <xf numFmtId="4" fontId="70" fillId="0" borderId="11" xfId="0" applyNumberFormat="1" applyFont="1" applyFill="1" applyBorder="1" applyAlignment="1">
      <alignment/>
    </xf>
    <xf numFmtId="4" fontId="73" fillId="0" borderId="10" xfId="0" applyNumberFormat="1" applyFont="1" applyBorder="1" applyAlignment="1">
      <alignment horizontal="right"/>
    </xf>
    <xf numFmtId="164" fontId="73" fillId="36" borderId="10" xfId="0" applyNumberFormat="1" applyFont="1" applyFill="1" applyBorder="1" applyAlignment="1">
      <alignment horizontal="right"/>
    </xf>
    <xf numFmtId="164" fontId="73" fillId="0" borderId="10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0" fontId="73" fillId="36" borderId="10" xfId="0" applyFont="1" applyFill="1" applyBorder="1" applyAlignment="1">
      <alignment/>
    </xf>
    <xf numFmtId="4" fontId="73" fillId="36" borderId="10" xfId="0" applyNumberFormat="1" applyFont="1" applyFill="1" applyBorder="1" applyAlignment="1">
      <alignment horizontal="right"/>
    </xf>
    <xf numFmtId="0" fontId="73" fillId="36" borderId="0" xfId="0" applyFont="1" applyFill="1" applyAlignment="1">
      <alignment/>
    </xf>
    <xf numFmtId="0" fontId="70" fillId="0" borderId="11" xfId="0" applyFont="1" applyFill="1" applyBorder="1" applyAlignment="1">
      <alignment/>
    </xf>
    <xf numFmtId="4" fontId="73" fillId="0" borderId="10" xfId="0" applyNumberFormat="1" applyFont="1" applyFill="1" applyBorder="1" applyAlignment="1">
      <alignment/>
    </xf>
    <xf numFmtId="4" fontId="7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70" fillId="0" borderId="10" xfId="0" applyFont="1" applyFill="1" applyBorder="1" applyAlignment="1">
      <alignment/>
    </xf>
    <xf numFmtId="4" fontId="73" fillId="0" borderId="10" xfId="0" applyNumberFormat="1" applyFont="1" applyBorder="1" applyAlignment="1">
      <alignment/>
    </xf>
    <xf numFmtId="4" fontId="73" fillId="0" borderId="0" xfId="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0" fontId="70" fillId="0" borderId="11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4" fontId="73" fillId="0" borderId="10" xfId="0" applyNumberFormat="1" applyFont="1" applyFill="1" applyBorder="1" applyAlignment="1">
      <alignment/>
    </xf>
    <xf numFmtId="164" fontId="73" fillId="36" borderId="0" xfId="0" applyNumberFormat="1" applyFont="1" applyFill="1" applyAlignment="1">
      <alignment/>
    </xf>
    <xf numFmtId="4" fontId="73" fillId="37" borderId="10" xfId="0" applyNumberFormat="1" applyFont="1" applyFill="1" applyBorder="1" applyAlignment="1">
      <alignment/>
    </xf>
    <xf numFmtId="164" fontId="73" fillId="37" borderId="10" xfId="0" applyNumberFormat="1" applyFont="1" applyFill="1" applyBorder="1" applyAlignment="1">
      <alignment horizontal="right"/>
    </xf>
    <xf numFmtId="0" fontId="73" fillId="37" borderId="10" xfId="0" applyFont="1" applyFill="1" applyBorder="1" applyAlignment="1">
      <alignment/>
    </xf>
    <xf numFmtId="4" fontId="73" fillId="37" borderId="10" xfId="0" applyNumberFormat="1" applyFont="1" applyFill="1" applyBorder="1" applyAlignment="1">
      <alignment horizontal="right"/>
    </xf>
    <xf numFmtId="4" fontId="73" fillId="37" borderId="10" xfId="0" applyNumberFormat="1" applyFont="1" applyFill="1" applyBorder="1" applyAlignment="1">
      <alignment/>
    </xf>
    <xf numFmtId="4" fontId="73" fillId="37" borderId="0" xfId="0" applyNumberFormat="1" applyFont="1" applyFill="1" applyAlignment="1">
      <alignment/>
    </xf>
    <xf numFmtId="164" fontId="73" fillId="37" borderId="0" xfId="0" applyNumberFormat="1" applyFont="1" applyFill="1" applyAlignment="1">
      <alignment/>
    </xf>
    <xf numFmtId="0" fontId="73" fillId="37" borderId="0" xfId="0" applyFont="1" applyFill="1" applyAlignment="1">
      <alignment/>
    </xf>
    <xf numFmtId="4" fontId="73" fillId="36" borderId="10" xfId="0" applyNumberFormat="1" applyFont="1" applyFill="1" applyBorder="1" applyAlignment="1">
      <alignment/>
    </xf>
    <xf numFmtId="4" fontId="73" fillId="36" borderId="0" xfId="0" applyNumberFormat="1" applyFont="1" applyFill="1" applyAlignment="1">
      <alignment/>
    </xf>
    <xf numFmtId="0" fontId="73" fillId="13" borderId="10" xfId="0" applyFont="1" applyFill="1" applyBorder="1" applyAlignment="1">
      <alignment/>
    </xf>
    <xf numFmtId="164" fontId="73" fillId="13" borderId="10" xfId="0" applyNumberFormat="1" applyFont="1" applyFill="1" applyBorder="1" applyAlignment="1">
      <alignment horizontal="right"/>
    </xf>
    <xf numFmtId="4" fontId="73" fillId="13" borderId="10" xfId="0" applyNumberFormat="1" applyFont="1" applyFill="1" applyBorder="1" applyAlignment="1">
      <alignment horizontal="right"/>
    </xf>
    <xf numFmtId="4" fontId="73" fillId="13" borderId="10" xfId="0" applyNumberFormat="1" applyFont="1" applyFill="1" applyBorder="1" applyAlignment="1">
      <alignment/>
    </xf>
    <xf numFmtId="4" fontId="73" fillId="13" borderId="10" xfId="0" applyNumberFormat="1" applyFont="1" applyFill="1" applyBorder="1" applyAlignment="1">
      <alignment/>
    </xf>
    <xf numFmtId="4" fontId="73" fillId="13" borderId="0" xfId="0" applyNumberFormat="1" applyFont="1" applyFill="1" applyAlignment="1">
      <alignment/>
    </xf>
    <xf numFmtId="164" fontId="73" fillId="13" borderId="0" xfId="0" applyNumberFormat="1" applyFont="1" applyFill="1" applyAlignment="1">
      <alignment/>
    </xf>
    <xf numFmtId="0" fontId="73" fillId="13" borderId="0" xfId="0" applyFont="1" applyFill="1" applyAlignment="1">
      <alignment/>
    </xf>
    <xf numFmtId="0" fontId="81" fillId="0" borderId="10" xfId="0" applyFont="1" applyBorder="1" applyAlignment="1">
      <alignment/>
    </xf>
    <xf numFmtId="164" fontId="81" fillId="0" borderId="10" xfId="0" applyNumberFormat="1" applyFont="1" applyBorder="1" applyAlignment="1">
      <alignment/>
    </xf>
    <xf numFmtId="0" fontId="81" fillId="33" borderId="10" xfId="0" applyFont="1" applyFill="1" applyBorder="1" applyAlignment="1">
      <alignment horizontal="center" wrapText="1"/>
    </xf>
    <xf numFmtId="0" fontId="81" fillId="33" borderId="10" xfId="0" applyFont="1" applyFill="1" applyBorder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49" fontId="39" fillId="33" borderId="10" xfId="0" applyNumberFormat="1" applyFont="1" applyFill="1" applyBorder="1" applyAlignment="1">
      <alignment horizontal="center"/>
    </xf>
    <xf numFmtId="0" fontId="81" fillId="35" borderId="10" xfId="0" applyFont="1" applyFill="1" applyBorder="1" applyAlignment="1">
      <alignment/>
    </xf>
    <xf numFmtId="164" fontId="81" fillId="35" borderId="10" xfId="0" applyNumberFormat="1" applyFont="1" applyFill="1" applyBorder="1" applyAlignment="1">
      <alignment/>
    </xf>
    <xf numFmtId="0" fontId="72" fillId="0" borderId="10" xfId="0" applyFont="1" applyBorder="1" applyAlignment="1">
      <alignment/>
    </xf>
    <xf numFmtId="164" fontId="81" fillId="0" borderId="10" xfId="0" applyNumberFormat="1" applyFont="1" applyFill="1" applyBorder="1" applyAlignment="1">
      <alignment/>
    </xf>
    <xf numFmtId="10" fontId="81" fillId="0" borderId="10" xfId="0" applyNumberFormat="1" applyFont="1" applyFill="1" applyBorder="1" applyAlignment="1">
      <alignment horizontal="right"/>
    </xf>
    <xf numFmtId="0" fontId="81" fillId="4" borderId="10" xfId="0" applyFont="1" applyFill="1" applyBorder="1" applyAlignment="1">
      <alignment/>
    </xf>
    <xf numFmtId="164" fontId="81" fillId="4" borderId="10" xfId="0" applyNumberFormat="1" applyFont="1" applyFill="1" applyBorder="1" applyAlignment="1">
      <alignment/>
    </xf>
    <xf numFmtId="164" fontId="72" fillId="0" borderId="10" xfId="0" applyNumberFormat="1" applyFont="1" applyBorder="1" applyAlignment="1">
      <alignment horizontal="right"/>
    </xf>
    <xf numFmtId="164" fontId="72" fillId="0" borderId="10" xfId="0" applyNumberFormat="1" applyFont="1" applyFill="1" applyBorder="1" applyAlignment="1">
      <alignment horizontal="right"/>
    </xf>
    <xf numFmtId="10" fontId="72" fillId="0" borderId="10" xfId="0" applyNumberFormat="1" applyFont="1" applyFill="1" applyBorder="1" applyAlignment="1">
      <alignment horizontal="right"/>
    </xf>
    <xf numFmtId="164" fontId="72" fillId="0" borderId="10" xfId="0" applyNumberFormat="1" applyFont="1" applyBorder="1" applyAlignment="1">
      <alignment/>
    </xf>
    <xf numFmtId="2" fontId="72" fillId="0" borderId="10" xfId="0" applyNumberFormat="1" applyFont="1" applyBorder="1" applyAlignment="1">
      <alignment/>
    </xf>
    <xf numFmtId="4" fontId="72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164" fontId="72" fillId="0" borderId="10" xfId="0" applyNumberFormat="1" applyFont="1" applyFill="1" applyBorder="1" applyAlignment="1">
      <alignment/>
    </xf>
    <xf numFmtId="4" fontId="40" fillId="0" borderId="12" xfId="0" applyNumberFormat="1" applyFont="1" applyFill="1" applyBorder="1" applyAlignment="1">
      <alignment/>
    </xf>
    <xf numFmtId="4" fontId="40" fillId="0" borderId="10" xfId="51" applyNumberFormat="1" applyFont="1" applyBorder="1">
      <alignment/>
      <protection/>
    </xf>
    <xf numFmtId="0" fontId="72" fillId="0" borderId="10" xfId="0" applyFont="1" applyBorder="1" applyAlignment="1">
      <alignment horizontal="left"/>
    </xf>
    <xf numFmtId="0" fontId="81" fillId="33" borderId="10" xfId="0" applyFont="1" applyFill="1" applyBorder="1" applyAlignment="1">
      <alignment vertical="center"/>
    </xf>
    <xf numFmtId="164" fontId="81" fillId="33" borderId="10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/>
    </xf>
    <xf numFmtId="4" fontId="82" fillId="0" borderId="10" xfId="0" applyNumberFormat="1" applyFont="1" applyBorder="1" applyAlignment="1">
      <alignment/>
    </xf>
    <xf numFmtId="4" fontId="81" fillId="0" borderId="10" xfId="0" applyNumberFormat="1" applyFont="1" applyBorder="1" applyAlignment="1">
      <alignment/>
    </xf>
    <xf numFmtId="0" fontId="7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9" fillId="33" borderId="10" xfId="0" applyFont="1" applyFill="1" applyBorder="1" applyAlignment="1">
      <alignment horizontal="center" wrapText="1"/>
    </xf>
    <xf numFmtId="0" fontId="69" fillId="33" borderId="10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/>
    </xf>
    <xf numFmtId="0" fontId="84" fillId="35" borderId="10" xfId="0" applyFont="1" applyFill="1" applyBorder="1" applyAlignment="1">
      <alignment/>
    </xf>
    <xf numFmtId="164" fontId="78" fillId="35" borderId="10" xfId="0" applyNumberFormat="1" applyFont="1" applyFill="1" applyBorder="1" applyAlignment="1">
      <alignment horizontal="right"/>
    </xf>
    <xf numFmtId="0" fontId="78" fillId="0" borderId="10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164" fontId="84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79" fillId="4" borderId="10" xfId="0" applyFont="1" applyFill="1" applyBorder="1" applyAlignment="1">
      <alignment/>
    </xf>
    <xf numFmtId="0" fontId="64" fillId="4" borderId="10" xfId="0" applyFont="1" applyFill="1" applyBorder="1" applyAlignment="1">
      <alignment/>
    </xf>
    <xf numFmtId="164" fontId="79" fillId="4" borderId="10" xfId="0" applyNumberFormat="1" applyFont="1" applyFill="1" applyBorder="1" applyAlignment="1">
      <alignment horizontal="right"/>
    </xf>
    <xf numFmtId="0" fontId="79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164" fontId="64" fillId="0" borderId="10" xfId="0" applyNumberFormat="1" applyFont="1" applyFill="1" applyBorder="1" applyAlignment="1">
      <alignment horizontal="right"/>
    </xf>
    <xf numFmtId="0" fontId="68" fillId="0" borderId="10" xfId="0" applyFont="1" applyFill="1" applyBorder="1" applyAlignment="1">
      <alignment/>
    </xf>
    <xf numFmtId="164" fontId="68" fillId="0" borderId="10" xfId="0" applyNumberFormat="1" applyFont="1" applyFill="1" applyBorder="1" applyAlignment="1">
      <alignment/>
    </xf>
    <xf numFmtId="0" fontId="80" fillId="0" borderId="10" xfId="0" applyFont="1" applyFill="1" applyBorder="1" applyAlignment="1">
      <alignment/>
    </xf>
    <xf numFmtId="164" fontId="80" fillId="0" borderId="10" xfId="0" applyNumberFormat="1" applyFont="1" applyFill="1" applyBorder="1" applyAlignment="1">
      <alignment/>
    </xf>
    <xf numFmtId="0" fontId="75" fillId="0" borderId="10" xfId="0" applyFont="1" applyFill="1" applyBorder="1" applyAlignment="1">
      <alignment/>
    </xf>
    <xf numFmtId="164" fontId="75" fillId="0" borderId="10" xfId="0" applyNumberFormat="1" applyFont="1" applyFill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79" fillId="33" borderId="10" xfId="0" applyFont="1" applyFill="1" applyBorder="1" applyAlignment="1">
      <alignment/>
    </xf>
    <xf numFmtId="164" fontId="79" fillId="33" borderId="10" xfId="0" applyNumberFormat="1" applyFont="1" applyFill="1" applyBorder="1" applyAlignment="1">
      <alignment horizontal="right"/>
    </xf>
    <xf numFmtId="4" fontId="72" fillId="0" borderId="10" xfId="0" applyNumberFormat="1" applyFont="1" applyFill="1" applyBorder="1" applyAlignment="1">
      <alignment horizontal="right"/>
    </xf>
    <xf numFmtId="17" fontId="68" fillId="33" borderId="10" xfId="0" applyNumberFormat="1" applyFont="1" applyFill="1" applyBorder="1" applyAlignment="1">
      <alignment horizontal="center"/>
    </xf>
    <xf numFmtId="4" fontId="72" fillId="0" borderId="10" xfId="0" applyNumberFormat="1" applyFont="1" applyBorder="1" applyAlignment="1">
      <alignment horizontal="right"/>
    </xf>
    <xf numFmtId="4" fontId="72" fillId="0" borderId="0" xfId="0" applyNumberFormat="1" applyFont="1" applyAlignment="1">
      <alignment/>
    </xf>
    <xf numFmtId="4" fontId="2" fillId="0" borderId="10" xfId="51" applyNumberFormat="1" applyFont="1" applyBorder="1">
      <alignment/>
      <protection/>
    </xf>
    <xf numFmtId="4" fontId="2" fillId="0" borderId="10" xfId="51" applyNumberFormat="1" applyFont="1" applyBorder="1" applyAlignment="1">
      <alignment horizontal="right"/>
      <protection/>
    </xf>
    <xf numFmtId="164" fontId="82" fillId="0" borderId="10" xfId="0" applyNumberFormat="1" applyFont="1" applyBorder="1" applyAlignment="1">
      <alignment horizontal="right"/>
    </xf>
    <xf numFmtId="4" fontId="74" fillId="0" borderId="10" xfId="0" applyNumberFormat="1" applyFont="1" applyBorder="1" applyAlignment="1">
      <alignment/>
    </xf>
    <xf numFmtId="4" fontId="82" fillId="0" borderId="10" xfId="0" applyNumberFormat="1" applyFont="1" applyFill="1" applyBorder="1" applyAlignment="1">
      <alignment horizontal="right"/>
    </xf>
    <xf numFmtId="0" fontId="82" fillId="0" borderId="10" xfId="0" applyFont="1" applyBorder="1" applyAlignment="1">
      <alignment/>
    </xf>
    <xf numFmtId="164" fontId="72" fillId="0" borderId="12" xfId="0" applyNumberFormat="1" applyFont="1" applyBorder="1" applyAlignment="1">
      <alignment horizontal="right"/>
    </xf>
    <xf numFmtId="164" fontId="82" fillId="36" borderId="10" xfId="0" applyNumberFormat="1" applyFont="1" applyFill="1" applyBorder="1" applyAlignment="1">
      <alignment horizontal="right"/>
    </xf>
    <xf numFmtId="164" fontId="72" fillId="36" borderId="10" xfId="0" applyNumberFormat="1" applyFont="1" applyFill="1" applyBorder="1" applyAlignment="1">
      <alignment horizontal="right"/>
    </xf>
    <xf numFmtId="164" fontId="72" fillId="0" borderId="0" xfId="0" applyNumberFormat="1" applyFont="1" applyAlignment="1">
      <alignment/>
    </xf>
    <xf numFmtId="0" fontId="0" fillId="0" borderId="0" xfId="0" applyFont="1" applyAlignment="1">
      <alignment/>
    </xf>
    <xf numFmtId="0" fontId="62" fillId="33" borderId="10" xfId="0" applyFont="1" applyFill="1" applyBorder="1" applyAlignment="1">
      <alignment horizontal="center" wrapText="1"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62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64" fontId="62" fillId="4" borderId="10" xfId="0" applyNumberFormat="1" applyFont="1" applyFill="1" applyBorder="1" applyAlignment="1">
      <alignment horizontal="right"/>
    </xf>
    <xf numFmtId="0" fontId="6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62" fillId="33" borderId="10" xfId="0" applyFont="1" applyFill="1" applyBorder="1" applyAlignment="1">
      <alignment/>
    </xf>
    <xf numFmtId="164" fontId="62" fillId="33" borderId="10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0" fontId="62" fillId="0" borderId="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justify"/>
    </xf>
    <xf numFmtId="0" fontId="6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64" fontId="62" fillId="35" borderId="10" xfId="0" applyNumberFormat="1" applyFont="1" applyFill="1" applyBorder="1" applyAlignment="1">
      <alignment horizontal="right"/>
    </xf>
    <xf numFmtId="164" fontId="62" fillId="0" borderId="10" xfId="0" applyNumberFormat="1" applyFont="1" applyFill="1" applyBorder="1" applyAlignment="1">
      <alignment/>
    </xf>
    <xf numFmtId="16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4" fontId="62" fillId="33" borderId="14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/>
    </xf>
    <xf numFmtId="164" fontId="44" fillId="35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0" fontId="44" fillId="4" borderId="10" xfId="0" applyFont="1" applyFill="1" applyBorder="1" applyAlignment="1">
      <alignment/>
    </xf>
    <xf numFmtId="164" fontId="44" fillId="4" borderId="10" xfId="0" applyNumberFormat="1" applyFont="1" applyFill="1" applyBorder="1" applyAlignment="1">
      <alignment/>
    </xf>
    <xf numFmtId="164" fontId="44" fillId="34" borderId="10" xfId="0" applyNumberFormat="1" applyFont="1" applyFill="1" applyBorder="1" applyAlignment="1">
      <alignment/>
    </xf>
    <xf numFmtId="164" fontId="45" fillId="0" borderId="0" xfId="0" applyNumberFormat="1" applyFont="1" applyAlignment="1">
      <alignment/>
    </xf>
    <xf numFmtId="0" fontId="45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164" fontId="44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 horizontal="right"/>
    </xf>
    <xf numFmtId="164" fontId="45" fillId="0" borderId="10" xfId="0" applyNumberFormat="1" applyFont="1" applyFill="1" applyBorder="1" applyAlignment="1">
      <alignment horizontal="right"/>
    </xf>
    <xf numFmtId="164" fontId="45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left"/>
    </xf>
    <xf numFmtId="4" fontId="45" fillId="0" borderId="10" xfId="0" applyNumberFormat="1" applyFont="1" applyBorder="1" applyAlignment="1">
      <alignment/>
    </xf>
    <xf numFmtId="4" fontId="61" fillId="0" borderId="10" xfId="0" applyNumberFormat="1" applyFont="1" applyBorder="1" applyAlignment="1">
      <alignment/>
    </xf>
    <xf numFmtId="164" fontId="45" fillId="0" borderId="10" xfId="0" applyNumberFormat="1" applyFont="1" applyFill="1" applyBorder="1" applyAlignment="1">
      <alignment/>
    </xf>
    <xf numFmtId="4" fontId="44" fillId="0" borderId="10" xfId="0" applyNumberFormat="1" applyFont="1" applyFill="1" applyBorder="1" applyAlignment="1">
      <alignment/>
    </xf>
    <xf numFmtId="4" fontId="44" fillId="0" borderId="10" xfId="0" applyNumberFormat="1" applyFont="1" applyBorder="1" applyAlignment="1">
      <alignment/>
    </xf>
    <xf numFmtId="0" fontId="44" fillId="33" borderId="10" xfId="0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vertical="center"/>
    </xf>
    <xf numFmtId="164" fontId="45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62" fillId="0" borderId="0" xfId="0" applyFont="1" applyFill="1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PageLayoutView="0" workbookViewId="0" topLeftCell="A25">
      <selection activeCell="K27" sqref="K27"/>
    </sheetView>
  </sheetViews>
  <sheetFormatPr defaultColWidth="9.140625" defaultRowHeight="15"/>
  <cols>
    <col min="1" max="1" width="4.7109375" style="0" customWidth="1"/>
    <col min="2" max="3" width="6.7109375" style="0" customWidth="1"/>
    <col min="4" max="4" width="9.8515625" style="0" customWidth="1"/>
    <col min="5" max="5" width="4.7109375" style="0" customWidth="1"/>
    <col min="6" max="6" width="9.7109375" style="0" customWidth="1"/>
    <col min="7" max="7" width="9.140625" style="0" customWidth="1"/>
    <col min="9" max="10" width="23.8515625" style="0" customWidth="1"/>
    <col min="11" max="13" width="21.57421875" style="0" customWidth="1"/>
  </cols>
  <sheetData>
    <row r="1" ht="12" customHeight="1">
      <c r="M1" s="10" t="s">
        <v>48</v>
      </c>
    </row>
    <row r="2" spans="1:13" ht="18">
      <c r="A2" s="4" t="s">
        <v>69</v>
      </c>
      <c r="B2" s="2"/>
      <c r="C2" s="2"/>
      <c r="D2" s="2"/>
      <c r="E2" s="2"/>
      <c r="F2" s="2"/>
      <c r="G2" s="2"/>
      <c r="H2" s="2"/>
      <c r="I2" s="2"/>
      <c r="J2" s="2"/>
      <c r="M2" s="5"/>
    </row>
    <row r="3" spans="1:13" ht="20.2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11"/>
      <c r="L3" s="11"/>
      <c r="M3" s="13"/>
    </row>
    <row r="4" spans="1:13" ht="20.25" customHeight="1">
      <c r="A4" s="267" t="s">
        <v>111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</row>
    <row r="5" spans="1:13" ht="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6.25">
      <c r="A6" s="6" t="s">
        <v>47</v>
      </c>
      <c r="B6" s="6" t="s">
        <v>50</v>
      </c>
      <c r="C6" s="6" t="s">
        <v>52</v>
      </c>
      <c r="D6" s="6" t="s">
        <v>91</v>
      </c>
      <c r="E6" s="6" t="s">
        <v>49</v>
      </c>
      <c r="F6" s="6" t="s">
        <v>59</v>
      </c>
      <c r="G6" s="6" t="s">
        <v>60</v>
      </c>
      <c r="H6" s="6" t="s">
        <v>61</v>
      </c>
      <c r="I6" s="6" t="str">
        <f>CONCATENATE("Naziv ",,H6)</f>
        <v>Naziv Konto 4. razina</v>
      </c>
      <c r="J6" s="7" t="s">
        <v>112</v>
      </c>
      <c r="K6" s="9" t="s">
        <v>71</v>
      </c>
      <c r="L6" s="9" t="s">
        <v>72</v>
      </c>
      <c r="M6" s="9" t="s">
        <v>73</v>
      </c>
    </row>
    <row r="7" spans="1:13" ht="15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12">
        <v>13</v>
      </c>
      <c r="L7" s="12">
        <v>14</v>
      </c>
      <c r="M7" s="12">
        <v>15</v>
      </c>
    </row>
    <row r="8" spans="1:13" ht="23.25" customHeight="1">
      <c r="A8" s="36" t="s">
        <v>5</v>
      </c>
      <c r="B8" s="36" t="s">
        <v>63</v>
      </c>
      <c r="C8" s="36"/>
      <c r="D8" s="36"/>
      <c r="E8" s="36"/>
      <c r="F8" s="36"/>
      <c r="G8" s="36"/>
      <c r="H8" s="36"/>
      <c r="I8" s="36"/>
      <c r="J8" s="37">
        <f>SUBTOTAL(9,J9:J74)</f>
        <v>5640944</v>
      </c>
      <c r="K8" s="37">
        <f>SUBTOTAL(9,K9:K74)</f>
        <v>6251055</v>
      </c>
      <c r="L8" s="37">
        <f>SUBTOTAL(9,L9:L74)</f>
        <v>6142262.32</v>
      </c>
      <c r="M8" s="37">
        <f>SUBTOTAL(9,M9:M74)</f>
        <v>6212481.02415</v>
      </c>
    </row>
    <row r="9" spans="1:13" ht="30" customHeight="1" hidden="1">
      <c r="A9" s="38"/>
      <c r="B9" s="38"/>
      <c r="C9" s="38"/>
      <c r="D9" s="38"/>
      <c r="E9" s="38"/>
      <c r="F9" s="38"/>
      <c r="G9" s="38"/>
      <c r="H9" s="38"/>
      <c r="I9" s="38"/>
      <c r="J9" s="39"/>
      <c r="K9" s="40"/>
      <c r="L9" s="40"/>
      <c r="M9" s="40"/>
    </row>
    <row r="10" spans="1:13" ht="23.25" customHeight="1">
      <c r="A10" s="41"/>
      <c r="B10" s="42" t="s">
        <v>46</v>
      </c>
      <c r="C10" s="42" t="s">
        <v>82</v>
      </c>
      <c r="D10" s="42"/>
      <c r="E10" s="42"/>
      <c r="F10" s="42"/>
      <c r="G10" s="42"/>
      <c r="H10" s="42"/>
      <c r="I10" s="42"/>
      <c r="J10" s="43">
        <f>SUBTOTAL(9,J11:J73)</f>
        <v>5640944</v>
      </c>
      <c r="K10" s="43">
        <f>SUBTOTAL(9,K11:K73)</f>
        <v>6251055</v>
      </c>
      <c r="L10" s="43">
        <f>SUBTOTAL(9,L11:L73)</f>
        <v>6142262.32</v>
      </c>
      <c r="M10" s="43">
        <f>SUBTOTAL(9,M11:M73)</f>
        <v>6212481.02415</v>
      </c>
    </row>
    <row r="11" spans="1:13" ht="30" customHeight="1" hidden="1">
      <c r="A11" s="41"/>
      <c r="B11" s="42"/>
      <c r="C11" s="42"/>
      <c r="D11" s="42"/>
      <c r="E11" s="42"/>
      <c r="F11" s="42"/>
      <c r="G11" s="42"/>
      <c r="H11" s="42"/>
      <c r="I11" s="42"/>
      <c r="J11" s="43"/>
      <c r="K11" s="40"/>
      <c r="L11" s="40"/>
      <c r="M11" s="40"/>
    </row>
    <row r="12" spans="1:13" ht="24" customHeight="1">
      <c r="A12" s="41"/>
      <c r="B12" s="41"/>
      <c r="C12" s="44" t="s">
        <v>6</v>
      </c>
      <c r="D12" s="44" t="s">
        <v>77</v>
      </c>
      <c r="E12" s="44"/>
      <c r="F12" s="44"/>
      <c r="G12" s="44"/>
      <c r="H12" s="44"/>
      <c r="I12" s="44"/>
      <c r="J12" s="45">
        <f>SUBTOTAL(9,J13:J72)</f>
        <v>5640944</v>
      </c>
      <c r="K12" s="45">
        <f>SUBTOTAL(9,K13:K72)</f>
        <v>6251055</v>
      </c>
      <c r="L12" s="45">
        <f>SUBTOTAL(9,L13:L72)</f>
        <v>6142262.32</v>
      </c>
      <c r="M12" s="45">
        <f>SUBTOTAL(9,M13:M72)</f>
        <v>6212481.02415</v>
      </c>
    </row>
    <row r="13" spans="1:13" ht="30" customHeight="1" hidden="1">
      <c r="A13" s="41"/>
      <c r="B13" s="41"/>
      <c r="C13" s="46"/>
      <c r="D13" s="46"/>
      <c r="E13" s="46"/>
      <c r="F13" s="46"/>
      <c r="G13" s="46"/>
      <c r="H13" s="46"/>
      <c r="I13" s="46"/>
      <c r="J13" s="47"/>
      <c r="K13" s="40"/>
      <c r="L13" s="40"/>
      <c r="M13" s="40"/>
    </row>
    <row r="14" spans="1:13" ht="23.25" customHeight="1">
      <c r="A14" s="41"/>
      <c r="B14" s="41"/>
      <c r="C14" s="41"/>
      <c r="D14" s="48" t="s">
        <v>53</v>
      </c>
      <c r="E14" s="48" t="s">
        <v>87</v>
      </c>
      <c r="F14" s="48"/>
      <c r="G14" s="48"/>
      <c r="H14" s="48"/>
      <c r="I14" s="48"/>
      <c r="J14" s="49">
        <f>SUBTOTAL(9,J15:J71)</f>
        <v>5640944</v>
      </c>
      <c r="K14" s="49">
        <f>SUBTOTAL(9,K15:K71)</f>
        <v>6251055</v>
      </c>
      <c r="L14" s="49">
        <f>SUBTOTAL(9,L15:L71)</f>
        <v>6142262.32</v>
      </c>
      <c r="M14" s="49">
        <f>SUBTOTAL(9,M15:M71)</f>
        <v>6212481.02415</v>
      </c>
    </row>
    <row r="15" spans="1:13" ht="30" customHeight="1" hidden="1">
      <c r="A15" s="41"/>
      <c r="B15" s="41"/>
      <c r="C15" s="41"/>
      <c r="D15" s="50"/>
      <c r="E15" s="50"/>
      <c r="F15" s="50"/>
      <c r="G15" s="50"/>
      <c r="H15" s="50"/>
      <c r="I15" s="50"/>
      <c r="J15" s="51"/>
      <c r="K15" s="40"/>
      <c r="L15" s="40"/>
      <c r="M15" s="40"/>
    </row>
    <row r="16" spans="1:13" ht="22.5" customHeight="1">
      <c r="A16" s="41"/>
      <c r="B16" s="41"/>
      <c r="C16" s="41"/>
      <c r="D16" s="41"/>
      <c r="E16" s="52" t="s">
        <v>1</v>
      </c>
      <c r="F16" s="52" t="s">
        <v>76</v>
      </c>
      <c r="G16" s="52"/>
      <c r="H16" s="52"/>
      <c r="I16" s="52"/>
      <c r="J16" s="53">
        <f>SUBTOTAL(9,J17:J70)</f>
        <v>5640944</v>
      </c>
      <c r="K16" s="53">
        <f>SUBTOTAL(9,K17:K70)</f>
        <v>6251055</v>
      </c>
      <c r="L16" s="53">
        <f>SUBTOTAL(9,L17:L70)</f>
        <v>6142262.32</v>
      </c>
      <c r="M16" s="53">
        <f>SUBTOTAL(9,M17:M70)</f>
        <v>6212481.02415</v>
      </c>
    </row>
    <row r="17" spans="1:13" ht="30" customHeight="1" hidden="1">
      <c r="A17" s="41"/>
      <c r="B17" s="41"/>
      <c r="C17" s="41"/>
      <c r="D17" s="41"/>
      <c r="E17" s="54"/>
      <c r="F17" s="54"/>
      <c r="G17" s="54"/>
      <c r="H17" s="54"/>
      <c r="I17" s="54"/>
      <c r="J17" s="55"/>
      <c r="K17" s="40"/>
      <c r="L17" s="40"/>
      <c r="M17" s="40"/>
    </row>
    <row r="18" spans="1:13" ht="23.25" customHeight="1">
      <c r="A18" s="41"/>
      <c r="B18" s="41"/>
      <c r="C18" s="41"/>
      <c r="D18" s="41"/>
      <c r="E18" s="41"/>
      <c r="F18" s="56" t="s">
        <v>0</v>
      </c>
      <c r="G18" s="56" t="s">
        <v>65</v>
      </c>
      <c r="H18" s="56"/>
      <c r="I18" s="56"/>
      <c r="J18" s="57">
        <f>SUBTOTAL(9,J19:J67)</f>
        <v>5640944</v>
      </c>
      <c r="K18" s="57">
        <f>SUBTOTAL(9,K19:K67)</f>
        <v>6251055</v>
      </c>
      <c r="L18" s="57">
        <f>SUBTOTAL(9,L19:L67)</f>
        <v>6142262.32</v>
      </c>
      <c r="M18" s="57">
        <f>SUBTOTAL(9,M19:M67)</f>
        <v>6212481.02415</v>
      </c>
    </row>
    <row r="19" spans="1:13" ht="30" customHeight="1" hidden="1">
      <c r="A19" s="41"/>
      <c r="B19" s="41"/>
      <c r="C19" s="41"/>
      <c r="D19" s="41"/>
      <c r="E19" s="41"/>
      <c r="F19" s="58"/>
      <c r="G19" s="58"/>
      <c r="H19" s="58"/>
      <c r="I19" s="58"/>
      <c r="J19" s="59"/>
      <c r="K19" s="40"/>
      <c r="L19" s="40"/>
      <c r="M19" s="40"/>
    </row>
    <row r="20" spans="1:13" ht="22.5" customHeight="1">
      <c r="A20" s="41"/>
      <c r="B20" s="41"/>
      <c r="C20" s="41"/>
      <c r="D20" s="41"/>
      <c r="E20" s="41"/>
      <c r="F20" s="41"/>
      <c r="G20" s="60" t="s">
        <v>2</v>
      </c>
      <c r="H20" s="60" t="s">
        <v>74</v>
      </c>
      <c r="I20" s="60"/>
      <c r="J20" s="61">
        <f>SUBTOTAL(9,J21:J28)</f>
        <v>3937944</v>
      </c>
      <c r="K20" s="61">
        <f>SUBTOTAL(9,K21:K28)</f>
        <v>4348055</v>
      </c>
      <c r="L20" s="61">
        <f>SUBTOTAL(9,L21:L28)</f>
        <v>4439262.32</v>
      </c>
      <c r="M20" s="61">
        <f>SUBTOTAL(9,M21:M28)</f>
        <v>4509481.02415</v>
      </c>
    </row>
    <row r="21" spans="1:13" ht="30" customHeight="1" hidden="1">
      <c r="A21" s="41"/>
      <c r="B21" s="41"/>
      <c r="C21" s="41"/>
      <c r="D21" s="41"/>
      <c r="E21" s="41"/>
      <c r="F21" s="41"/>
      <c r="G21" s="62"/>
      <c r="H21" s="62"/>
      <c r="I21" s="62"/>
      <c r="J21" s="63"/>
      <c r="K21" s="40"/>
      <c r="L21" s="40"/>
      <c r="M21" s="40"/>
    </row>
    <row r="22" spans="1:13" ht="15">
      <c r="A22" s="41"/>
      <c r="B22" s="41"/>
      <c r="C22" s="41"/>
      <c r="D22" s="64" t="s">
        <v>53</v>
      </c>
      <c r="E22" s="64" t="s">
        <v>1</v>
      </c>
      <c r="F22" s="41"/>
      <c r="G22" s="41"/>
      <c r="H22" s="64" t="s">
        <v>7</v>
      </c>
      <c r="I22" s="64" t="s">
        <v>92</v>
      </c>
      <c r="J22" s="35">
        <v>3276822</v>
      </c>
      <c r="K22" s="68">
        <v>3627966</v>
      </c>
      <c r="L22" s="35">
        <f>(K22+K22*0.5/100)+55560</f>
        <v>3701665.83</v>
      </c>
      <c r="M22" s="35">
        <f>(L22+L22*0.5/100)+55560</f>
        <v>3775734.15915</v>
      </c>
    </row>
    <row r="23" spans="1:13" ht="15">
      <c r="A23" s="41"/>
      <c r="B23" s="41"/>
      <c r="C23" s="41"/>
      <c r="D23" s="64" t="s">
        <v>53</v>
      </c>
      <c r="E23" s="64" t="s">
        <v>1</v>
      </c>
      <c r="F23" s="41"/>
      <c r="G23" s="41"/>
      <c r="H23" s="64" t="s">
        <v>8</v>
      </c>
      <c r="I23" s="64" t="s">
        <v>80</v>
      </c>
      <c r="J23" s="35">
        <v>0</v>
      </c>
      <c r="K23" s="69">
        <v>0</v>
      </c>
      <c r="L23" s="35">
        <f>(K23+K23*0.5/100)</f>
        <v>0</v>
      </c>
      <c r="M23" s="35">
        <f>(L23+L23*0.5/100)</f>
        <v>0</v>
      </c>
    </row>
    <row r="24" spans="1:13" ht="15">
      <c r="A24" s="41"/>
      <c r="B24" s="41"/>
      <c r="C24" s="41"/>
      <c r="D24" s="64" t="s">
        <v>53</v>
      </c>
      <c r="E24" s="64" t="s">
        <v>1</v>
      </c>
      <c r="F24" s="41"/>
      <c r="G24" s="41"/>
      <c r="H24" s="64" t="s">
        <v>9</v>
      </c>
      <c r="I24" s="64" t="s">
        <v>96</v>
      </c>
      <c r="J24" s="35">
        <v>0</v>
      </c>
      <c r="K24" s="69">
        <v>9000</v>
      </c>
      <c r="L24" s="35">
        <f>(K24+K24*0.5/100)</f>
        <v>9045</v>
      </c>
      <c r="M24" s="35">
        <f>(L24+L24*0.5/100)</f>
        <v>9090.225</v>
      </c>
    </row>
    <row r="25" spans="1:13" ht="15">
      <c r="A25" s="41"/>
      <c r="B25" s="41"/>
      <c r="C25" s="41"/>
      <c r="D25" s="64" t="s">
        <v>53</v>
      </c>
      <c r="E25" s="64" t="s">
        <v>1</v>
      </c>
      <c r="F25" s="41"/>
      <c r="G25" s="41"/>
      <c r="H25" s="64" t="s">
        <v>10</v>
      </c>
      <c r="I25" s="64" t="s">
        <v>79</v>
      </c>
      <c r="J25" s="35">
        <v>105000</v>
      </c>
      <c r="K25" s="68">
        <v>110775</v>
      </c>
      <c r="L25" s="35">
        <v>136906</v>
      </c>
      <c r="M25" s="35">
        <v>120885.52</v>
      </c>
    </row>
    <row r="26" spans="1:13" ht="15">
      <c r="A26" s="41"/>
      <c r="B26" s="41"/>
      <c r="C26" s="41"/>
      <c r="D26" s="64" t="s">
        <v>53</v>
      </c>
      <c r="E26" s="64" t="s">
        <v>1</v>
      </c>
      <c r="F26" s="41"/>
      <c r="G26" s="41"/>
      <c r="H26" s="64" t="s">
        <v>11</v>
      </c>
      <c r="I26" s="64" t="s">
        <v>94</v>
      </c>
      <c r="J26" s="35">
        <v>500000</v>
      </c>
      <c r="K26" s="69">
        <v>598614</v>
      </c>
      <c r="L26" s="35">
        <v>591645.49</v>
      </c>
      <c r="M26" s="35">
        <v>603771.12</v>
      </c>
    </row>
    <row r="27" spans="1:13" ht="15">
      <c r="A27" s="41"/>
      <c r="B27" s="41"/>
      <c r="C27" s="41"/>
      <c r="D27" s="64" t="s">
        <v>53</v>
      </c>
      <c r="E27" s="64" t="s">
        <v>1</v>
      </c>
      <c r="F27" s="41"/>
      <c r="G27" s="41"/>
      <c r="H27" s="64" t="s">
        <v>12</v>
      </c>
      <c r="I27" s="64" t="s">
        <v>107</v>
      </c>
      <c r="J27" s="35">
        <v>56122</v>
      </c>
      <c r="K27" s="35">
        <v>1700</v>
      </c>
      <c r="L27" s="35">
        <v>0</v>
      </c>
      <c r="M27" s="35">
        <v>0</v>
      </c>
    </row>
    <row r="28" spans="1:13" ht="15" hidden="1">
      <c r="A28" s="41"/>
      <c r="B28" s="41"/>
      <c r="C28" s="41"/>
      <c r="D28" s="41"/>
      <c r="E28" s="41"/>
      <c r="F28" s="41"/>
      <c r="G28" s="41">
        <v>7</v>
      </c>
      <c r="H28" s="41"/>
      <c r="I28" s="41"/>
      <c r="J28" s="65"/>
      <c r="K28" s="69">
        <v>0</v>
      </c>
      <c r="L28" s="40"/>
      <c r="M28" s="40"/>
    </row>
    <row r="29" spans="1:13" ht="22.5" customHeight="1">
      <c r="A29" s="41"/>
      <c r="B29" s="41"/>
      <c r="C29" s="41"/>
      <c r="D29" s="41"/>
      <c r="E29" s="41"/>
      <c r="F29" s="41"/>
      <c r="G29" s="60" t="s">
        <v>3</v>
      </c>
      <c r="H29" s="60" t="s">
        <v>67</v>
      </c>
      <c r="I29" s="60"/>
      <c r="J29" s="61">
        <f>SUBTOTAL(9,J30:J59)</f>
        <v>1698000</v>
      </c>
      <c r="K29" s="61">
        <f>SUBTOTAL(9,K30:K59)</f>
        <v>1898000</v>
      </c>
      <c r="L29" s="61">
        <f>SUBTOTAL(9,L30:L59)</f>
        <v>1698000</v>
      </c>
      <c r="M29" s="61">
        <f>SUBTOTAL(9,M30:M59)</f>
        <v>1698000</v>
      </c>
    </row>
    <row r="30" spans="1:13" ht="30" customHeight="1" hidden="1">
      <c r="A30" s="41"/>
      <c r="B30" s="41"/>
      <c r="C30" s="41"/>
      <c r="D30" s="41"/>
      <c r="E30" s="41"/>
      <c r="F30" s="41"/>
      <c r="G30" s="62"/>
      <c r="H30" s="62"/>
      <c r="I30" s="62"/>
      <c r="J30" s="63"/>
      <c r="K30" s="40"/>
      <c r="L30" s="40"/>
      <c r="M30" s="40"/>
    </row>
    <row r="31" spans="1:13" ht="15">
      <c r="A31" s="41"/>
      <c r="B31" s="41"/>
      <c r="C31" s="41"/>
      <c r="D31" s="64" t="s">
        <v>53</v>
      </c>
      <c r="E31" s="64" t="s">
        <v>1</v>
      </c>
      <c r="F31" s="41"/>
      <c r="G31" s="41"/>
      <c r="H31" s="64" t="s">
        <v>13</v>
      </c>
      <c r="I31" s="64" t="s">
        <v>86</v>
      </c>
      <c r="J31" s="35">
        <v>21000</v>
      </c>
      <c r="K31" s="35">
        <v>21000</v>
      </c>
      <c r="L31" s="35">
        <v>16000</v>
      </c>
      <c r="M31" s="35">
        <v>16000</v>
      </c>
    </row>
    <row r="32" spans="1:13" ht="15">
      <c r="A32" s="41"/>
      <c r="B32" s="41"/>
      <c r="C32" s="41"/>
      <c r="D32" s="64" t="s">
        <v>53</v>
      </c>
      <c r="E32" s="64" t="s">
        <v>1</v>
      </c>
      <c r="F32" s="41"/>
      <c r="G32" s="41"/>
      <c r="H32" s="64" t="s">
        <v>14</v>
      </c>
      <c r="I32" s="64" t="s">
        <v>106</v>
      </c>
      <c r="J32" s="35">
        <v>120000</v>
      </c>
      <c r="K32" s="35">
        <v>120000</v>
      </c>
      <c r="L32" s="35">
        <v>120000</v>
      </c>
      <c r="M32" s="35">
        <v>120000</v>
      </c>
    </row>
    <row r="33" spans="1:13" ht="15">
      <c r="A33" s="41"/>
      <c r="B33" s="41"/>
      <c r="C33" s="41"/>
      <c r="D33" s="64" t="s">
        <v>53</v>
      </c>
      <c r="E33" s="64" t="s">
        <v>1</v>
      </c>
      <c r="F33" s="41"/>
      <c r="G33" s="41"/>
      <c r="H33" s="64" t="s">
        <v>15</v>
      </c>
      <c r="I33" s="64" t="s">
        <v>99</v>
      </c>
      <c r="J33" s="35">
        <v>6000</v>
      </c>
      <c r="K33" s="35">
        <v>8500</v>
      </c>
      <c r="L33" s="35">
        <v>6000</v>
      </c>
      <c r="M33" s="35">
        <v>6000</v>
      </c>
    </row>
    <row r="34" spans="1:13" ht="15">
      <c r="A34" s="41"/>
      <c r="B34" s="41"/>
      <c r="C34" s="41"/>
      <c r="D34" s="64" t="s">
        <v>53</v>
      </c>
      <c r="E34" s="64" t="s">
        <v>1</v>
      </c>
      <c r="F34" s="41"/>
      <c r="G34" s="41"/>
      <c r="H34" s="64" t="s">
        <v>16</v>
      </c>
      <c r="I34" s="64" t="s">
        <v>101</v>
      </c>
      <c r="J34" s="35">
        <v>0</v>
      </c>
      <c r="K34" s="35">
        <v>0</v>
      </c>
      <c r="L34" s="35">
        <v>0</v>
      </c>
      <c r="M34" s="35">
        <v>0</v>
      </c>
    </row>
    <row r="35" spans="1:13" ht="15">
      <c r="A35" s="41"/>
      <c r="B35" s="41"/>
      <c r="C35" s="41"/>
      <c r="D35" s="64" t="s">
        <v>53</v>
      </c>
      <c r="E35" s="64" t="s">
        <v>1</v>
      </c>
      <c r="F35" s="41"/>
      <c r="G35" s="41"/>
      <c r="H35" s="64" t="s">
        <v>17</v>
      </c>
      <c r="I35" s="64" t="s">
        <v>95</v>
      </c>
      <c r="J35" s="35">
        <v>65000</v>
      </c>
      <c r="K35" s="35">
        <v>65000</v>
      </c>
      <c r="L35" s="35">
        <v>65000</v>
      </c>
      <c r="M35" s="35">
        <v>65000</v>
      </c>
    </row>
    <row r="36" spans="1:13" ht="15">
      <c r="A36" s="41"/>
      <c r="B36" s="41"/>
      <c r="C36" s="41"/>
      <c r="D36" s="64" t="s">
        <v>53</v>
      </c>
      <c r="E36" s="64" t="s">
        <v>1</v>
      </c>
      <c r="F36" s="41"/>
      <c r="G36" s="41"/>
      <c r="H36" s="64" t="s">
        <v>18</v>
      </c>
      <c r="I36" s="64" t="s">
        <v>70</v>
      </c>
      <c r="J36" s="35">
        <v>0</v>
      </c>
      <c r="K36" s="35">
        <v>0</v>
      </c>
      <c r="L36" s="35">
        <v>0</v>
      </c>
      <c r="M36" s="35">
        <v>0</v>
      </c>
    </row>
    <row r="37" spans="1:13" ht="15">
      <c r="A37" s="41"/>
      <c r="B37" s="41"/>
      <c r="C37" s="41"/>
      <c r="D37" s="64" t="s">
        <v>53</v>
      </c>
      <c r="E37" s="64" t="s">
        <v>1</v>
      </c>
      <c r="F37" s="41"/>
      <c r="G37" s="41"/>
      <c r="H37" s="64" t="s">
        <v>19</v>
      </c>
      <c r="I37" s="64" t="s">
        <v>51</v>
      </c>
      <c r="J37" s="35">
        <v>300000</v>
      </c>
      <c r="K37" s="35">
        <v>285000</v>
      </c>
      <c r="L37" s="35">
        <v>220000</v>
      </c>
      <c r="M37" s="35">
        <v>220000</v>
      </c>
    </row>
    <row r="38" spans="1:13" ht="15">
      <c r="A38" s="41"/>
      <c r="B38" s="41"/>
      <c r="C38" s="41"/>
      <c r="D38" s="64" t="s">
        <v>53</v>
      </c>
      <c r="E38" s="64" t="s">
        <v>1</v>
      </c>
      <c r="F38" s="41"/>
      <c r="G38" s="41"/>
      <c r="H38" s="64" t="s">
        <v>20</v>
      </c>
      <c r="I38" s="64" t="s">
        <v>108</v>
      </c>
      <c r="J38" s="35">
        <v>18000</v>
      </c>
      <c r="K38" s="35">
        <v>18000</v>
      </c>
      <c r="L38" s="35">
        <v>18000</v>
      </c>
      <c r="M38" s="35">
        <v>18000</v>
      </c>
    </row>
    <row r="39" spans="1:13" ht="15">
      <c r="A39" s="41"/>
      <c r="B39" s="41"/>
      <c r="C39" s="41"/>
      <c r="D39" s="64" t="s">
        <v>53</v>
      </c>
      <c r="E39" s="64" t="s">
        <v>1</v>
      </c>
      <c r="F39" s="41"/>
      <c r="G39" s="41"/>
      <c r="H39" s="64" t="s">
        <v>21</v>
      </c>
      <c r="I39" s="64" t="s">
        <v>78</v>
      </c>
      <c r="J39" s="35">
        <v>8000</v>
      </c>
      <c r="K39" s="35">
        <v>8000</v>
      </c>
      <c r="L39" s="35">
        <v>8000</v>
      </c>
      <c r="M39" s="35">
        <v>8000</v>
      </c>
    </row>
    <row r="40" spans="1:13" ht="15">
      <c r="A40" s="41"/>
      <c r="B40" s="41"/>
      <c r="C40" s="41"/>
      <c r="D40" s="64" t="s">
        <v>53</v>
      </c>
      <c r="E40" s="64" t="s">
        <v>1</v>
      </c>
      <c r="F40" s="41"/>
      <c r="G40" s="41"/>
      <c r="H40" s="64" t="s">
        <v>22</v>
      </c>
      <c r="I40" s="64" t="s">
        <v>90</v>
      </c>
      <c r="J40" s="35">
        <v>0</v>
      </c>
      <c r="K40" s="35">
        <v>0</v>
      </c>
      <c r="L40" s="35">
        <v>0</v>
      </c>
      <c r="M40" s="35">
        <v>0</v>
      </c>
    </row>
    <row r="41" spans="1:13" ht="15">
      <c r="A41" s="41"/>
      <c r="B41" s="41"/>
      <c r="C41" s="41"/>
      <c r="D41" s="64" t="s">
        <v>53</v>
      </c>
      <c r="E41" s="64" t="s">
        <v>1</v>
      </c>
      <c r="F41" s="41"/>
      <c r="G41" s="41"/>
      <c r="H41" s="64" t="s">
        <v>23</v>
      </c>
      <c r="I41" s="64" t="s">
        <v>103</v>
      </c>
      <c r="J41" s="35">
        <v>0</v>
      </c>
      <c r="K41" s="35">
        <v>5000</v>
      </c>
      <c r="L41" s="35">
        <v>0</v>
      </c>
      <c r="M41" s="35">
        <v>0</v>
      </c>
    </row>
    <row r="42" spans="1:13" ht="15">
      <c r="A42" s="41"/>
      <c r="B42" s="41"/>
      <c r="C42" s="41"/>
      <c r="D42" s="64" t="s">
        <v>53</v>
      </c>
      <c r="E42" s="64" t="s">
        <v>1</v>
      </c>
      <c r="F42" s="41"/>
      <c r="G42" s="41"/>
      <c r="H42" s="64" t="s">
        <v>24</v>
      </c>
      <c r="I42" s="64" t="s">
        <v>100</v>
      </c>
      <c r="J42" s="35">
        <v>62000</v>
      </c>
      <c r="K42" s="35">
        <v>62000</v>
      </c>
      <c r="L42" s="35">
        <v>62000</v>
      </c>
      <c r="M42" s="35">
        <v>62000</v>
      </c>
    </row>
    <row r="43" spans="1:13" ht="15">
      <c r="A43" s="41"/>
      <c r="B43" s="41"/>
      <c r="C43" s="41"/>
      <c r="D43" s="64" t="s">
        <v>53</v>
      </c>
      <c r="E43" s="64" t="s">
        <v>1</v>
      </c>
      <c r="F43" s="41"/>
      <c r="G43" s="41"/>
      <c r="H43" s="64" t="s">
        <v>25</v>
      </c>
      <c r="I43" s="64" t="s">
        <v>104</v>
      </c>
      <c r="J43" s="35">
        <v>90000</v>
      </c>
      <c r="K43" s="35">
        <v>85000</v>
      </c>
      <c r="L43" s="35">
        <v>90000</v>
      </c>
      <c r="M43" s="35">
        <v>90000</v>
      </c>
    </row>
    <row r="44" spans="1:13" ht="15">
      <c r="A44" s="41"/>
      <c r="B44" s="41"/>
      <c r="C44" s="41"/>
      <c r="D44" s="64" t="s">
        <v>53</v>
      </c>
      <c r="E44" s="64" t="s">
        <v>1</v>
      </c>
      <c r="F44" s="41"/>
      <c r="G44" s="41"/>
      <c r="H44" s="64" t="s">
        <v>26</v>
      </c>
      <c r="I44" s="64" t="s">
        <v>98</v>
      </c>
      <c r="J44" s="35">
        <v>10000</v>
      </c>
      <c r="K44" s="35">
        <v>10000</v>
      </c>
      <c r="L44" s="35">
        <v>10000</v>
      </c>
      <c r="M44" s="35">
        <v>10000</v>
      </c>
    </row>
    <row r="45" spans="1:13" ht="15">
      <c r="A45" s="41"/>
      <c r="B45" s="41"/>
      <c r="C45" s="41"/>
      <c r="D45" s="64" t="s">
        <v>53</v>
      </c>
      <c r="E45" s="64" t="s">
        <v>1</v>
      </c>
      <c r="F45" s="41"/>
      <c r="G45" s="41"/>
      <c r="H45" s="64" t="s">
        <v>27</v>
      </c>
      <c r="I45" s="64" t="s">
        <v>62</v>
      </c>
      <c r="J45" s="35">
        <v>60000</v>
      </c>
      <c r="K45" s="35">
        <v>60000</v>
      </c>
      <c r="L45" s="35">
        <v>60000</v>
      </c>
      <c r="M45" s="35">
        <v>60000</v>
      </c>
    </row>
    <row r="46" spans="1:13" ht="15">
      <c r="A46" s="41"/>
      <c r="B46" s="41"/>
      <c r="C46" s="41"/>
      <c r="D46" s="64" t="s">
        <v>53</v>
      </c>
      <c r="E46" s="64" t="s">
        <v>1</v>
      </c>
      <c r="F46" s="41"/>
      <c r="G46" s="41"/>
      <c r="H46" s="64" t="s">
        <v>28</v>
      </c>
      <c r="I46" s="64" t="s">
        <v>75</v>
      </c>
      <c r="J46" s="35">
        <v>15000</v>
      </c>
      <c r="K46" s="35">
        <v>15000</v>
      </c>
      <c r="L46" s="35">
        <v>15000</v>
      </c>
      <c r="M46" s="35">
        <v>15000</v>
      </c>
    </row>
    <row r="47" spans="1:13" ht="15">
      <c r="A47" s="41"/>
      <c r="B47" s="41"/>
      <c r="C47" s="41"/>
      <c r="D47" s="64" t="s">
        <v>53</v>
      </c>
      <c r="E47" s="64" t="s">
        <v>1</v>
      </c>
      <c r="F47" s="41"/>
      <c r="G47" s="41"/>
      <c r="H47" s="64" t="s">
        <v>29</v>
      </c>
      <c r="I47" s="64" t="s">
        <v>84</v>
      </c>
      <c r="J47" s="35">
        <v>0</v>
      </c>
      <c r="K47" s="35">
        <v>0</v>
      </c>
      <c r="L47" s="35">
        <v>0</v>
      </c>
      <c r="M47" s="35">
        <v>0</v>
      </c>
    </row>
    <row r="48" spans="1:13" ht="15">
      <c r="A48" s="41"/>
      <c r="B48" s="41"/>
      <c r="C48" s="41"/>
      <c r="D48" s="64" t="s">
        <v>53</v>
      </c>
      <c r="E48" s="64" t="s">
        <v>1</v>
      </c>
      <c r="F48" s="41"/>
      <c r="G48" s="41"/>
      <c r="H48" s="64" t="s">
        <v>30</v>
      </c>
      <c r="I48" s="64" t="s">
        <v>81</v>
      </c>
      <c r="J48" s="35">
        <v>120000</v>
      </c>
      <c r="K48" s="35">
        <v>130000</v>
      </c>
      <c r="L48" s="35">
        <v>140000</v>
      </c>
      <c r="M48" s="35">
        <v>140000</v>
      </c>
    </row>
    <row r="49" spans="1:13" ht="15">
      <c r="A49" s="41"/>
      <c r="B49" s="41"/>
      <c r="C49" s="41"/>
      <c r="D49" s="64" t="s">
        <v>53</v>
      </c>
      <c r="E49" s="64" t="s">
        <v>1</v>
      </c>
      <c r="F49" s="41"/>
      <c r="G49" s="41"/>
      <c r="H49" s="64" t="s">
        <v>31</v>
      </c>
      <c r="I49" s="64" t="s">
        <v>83</v>
      </c>
      <c r="J49" s="35">
        <v>50000</v>
      </c>
      <c r="K49" s="35">
        <v>50000</v>
      </c>
      <c r="L49" s="35">
        <v>50000</v>
      </c>
      <c r="M49" s="35">
        <v>50000</v>
      </c>
    </row>
    <row r="50" spans="1:13" ht="15">
      <c r="A50" s="41"/>
      <c r="B50" s="41"/>
      <c r="C50" s="41"/>
      <c r="D50" s="64" t="s">
        <v>53</v>
      </c>
      <c r="E50" s="64" t="s">
        <v>1</v>
      </c>
      <c r="F50" s="41"/>
      <c r="G50" s="41"/>
      <c r="H50" s="64" t="s">
        <v>32</v>
      </c>
      <c r="I50" s="64" t="s">
        <v>56</v>
      </c>
      <c r="J50" s="35">
        <v>700000</v>
      </c>
      <c r="K50" s="35">
        <v>900000</v>
      </c>
      <c r="L50" s="35">
        <v>760000</v>
      </c>
      <c r="M50" s="35">
        <v>760000</v>
      </c>
    </row>
    <row r="51" spans="1:13" ht="15">
      <c r="A51" s="41"/>
      <c r="B51" s="41"/>
      <c r="C51" s="41"/>
      <c r="D51" s="64" t="s">
        <v>53</v>
      </c>
      <c r="E51" s="64" t="s">
        <v>1</v>
      </c>
      <c r="F51" s="41"/>
      <c r="G51" s="41"/>
      <c r="H51" s="64" t="s">
        <v>33</v>
      </c>
      <c r="I51" s="64" t="s">
        <v>105</v>
      </c>
      <c r="J51" s="35">
        <v>0</v>
      </c>
      <c r="K51" s="35">
        <v>0</v>
      </c>
      <c r="L51" s="35">
        <v>0</v>
      </c>
      <c r="M51" s="35">
        <v>0</v>
      </c>
    </row>
    <row r="52" spans="1:13" ht="15">
      <c r="A52" s="41"/>
      <c r="B52" s="41"/>
      <c r="C52" s="41"/>
      <c r="D52" s="64" t="s">
        <v>53</v>
      </c>
      <c r="E52" s="64" t="s">
        <v>1</v>
      </c>
      <c r="F52" s="41"/>
      <c r="G52" s="41"/>
      <c r="H52" s="64" t="s">
        <v>34</v>
      </c>
      <c r="I52" s="64" t="s">
        <v>110</v>
      </c>
      <c r="J52" s="35">
        <v>0</v>
      </c>
      <c r="K52" s="35">
        <v>0</v>
      </c>
      <c r="L52" s="35">
        <v>0</v>
      </c>
      <c r="M52" s="35">
        <v>0</v>
      </c>
    </row>
    <row r="53" spans="1:13" ht="15">
      <c r="A53" s="41"/>
      <c r="B53" s="41"/>
      <c r="C53" s="41"/>
      <c r="D53" s="64" t="s">
        <v>53</v>
      </c>
      <c r="E53" s="64" t="s">
        <v>1</v>
      </c>
      <c r="F53" s="41"/>
      <c r="G53" s="41"/>
      <c r="H53" s="64" t="s">
        <v>35</v>
      </c>
      <c r="I53" s="64" t="s">
        <v>64</v>
      </c>
      <c r="J53" s="35">
        <v>30000</v>
      </c>
      <c r="K53" s="35">
        <v>30000</v>
      </c>
      <c r="L53" s="35">
        <v>35000</v>
      </c>
      <c r="M53" s="35">
        <v>35000</v>
      </c>
    </row>
    <row r="54" spans="1:13" ht="15">
      <c r="A54" s="41"/>
      <c r="B54" s="41"/>
      <c r="C54" s="41"/>
      <c r="D54" s="64" t="s">
        <v>53</v>
      </c>
      <c r="E54" s="64" t="s">
        <v>1</v>
      </c>
      <c r="F54" s="41"/>
      <c r="G54" s="41"/>
      <c r="H54" s="64" t="s">
        <v>36</v>
      </c>
      <c r="I54" s="64" t="s">
        <v>57</v>
      </c>
      <c r="J54" s="35">
        <v>0</v>
      </c>
      <c r="K54" s="35">
        <v>0</v>
      </c>
      <c r="L54" s="35">
        <v>0</v>
      </c>
      <c r="M54" s="35">
        <v>0</v>
      </c>
    </row>
    <row r="55" spans="1:13" ht="15">
      <c r="A55" s="41"/>
      <c r="B55" s="41"/>
      <c r="C55" s="41"/>
      <c r="D55" s="64" t="s">
        <v>53</v>
      </c>
      <c r="E55" s="64" t="s">
        <v>1</v>
      </c>
      <c r="F55" s="41"/>
      <c r="G55" s="41"/>
      <c r="H55" s="64" t="s">
        <v>37</v>
      </c>
      <c r="I55" s="64" t="s">
        <v>85</v>
      </c>
      <c r="J55" s="35">
        <v>5500</v>
      </c>
      <c r="K55" s="35">
        <v>8000</v>
      </c>
      <c r="L55" s="35">
        <v>5500</v>
      </c>
      <c r="M55" s="35">
        <v>5500</v>
      </c>
    </row>
    <row r="56" spans="1:13" ht="15">
      <c r="A56" s="41"/>
      <c r="B56" s="41"/>
      <c r="C56" s="41"/>
      <c r="D56" s="64" t="s">
        <v>53</v>
      </c>
      <c r="E56" s="64" t="s">
        <v>1</v>
      </c>
      <c r="F56" s="41"/>
      <c r="G56" s="41"/>
      <c r="H56" s="64" t="s">
        <v>38</v>
      </c>
      <c r="I56" s="64" t="s">
        <v>68</v>
      </c>
      <c r="J56" s="35">
        <v>13000</v>
      </c>
      <c r="K56" s="35">
        <v>13000</v>
      </c>
      <c r="L56" s="35">
        <v>13000</v>
      </c>
      <c r="M56" s="35">
        <v>13000</v>
      </c>
    </row>
    <row r="57" spans="1:13" ht="15">
      <c r="A57" s="41"/>
      <c r="B57" s="41"/>
      <c r="C57" s="41"/>
      <c r="D57" s="64" t="s">
        <v>53</v>
      </c>
      <c r="E57" s="64" t="s">
        <v>1</v>
      </c>
      <c r="F57" s="41"/>
      <c r="G57" s="41"/>
      <c r="H57" s="64" t="s">
        <v>39</v>
      </c>
      <c r="I57" s="64" t="s">
        <v>97</v>
      </c>
      <c r="J57" s="35">
        <v>0</v>
      </c>
      <c r="K57" s="35">
        <v>0</v>
      </c>
      <c r="L57" s="35">
        <v>0</v>
      </c>
      <c r="M57" s="35">
        <v>0</v>
      </c>
    </row>
    <row r="58" spans="1:13" ht="15">
      <c r="A58" s="41"/>
      <c r="B58" s="41"/>
      <c r="C58" s="41"/>
      <c r="D58" s="64" t="s">
        <v>53</v>
      </c>
      <c r="E58" s="64" t="s">
        <v>1</v>
      </c>
      <c r="F58" s="41"/>
      <c r="G58" s="41"/>
      <c r="H58" s="64" t="s">
        <v>40</v>
      </c>
      <c r="I58" s="64" t="s">
        <v>88</v>
      </c>
      <c r="J58" s="35">
        <v>4500</v>
      </c>
      <c r="K58" s="35">
        <v>4500</v>
      </c>
      <c r="L58" s="35">
        <v>4500</v>
      </c>
      <c r="M58" s="35">
        <v>4500</v>
      </c>
    </row>
    <row r="59" spans="1:13" ht="15" hidden="1">
      <c r="A59" s="41"/>
      <c r="B59" s="41"/>
      <c r="C59" s="41"/>
      <c r="D59" s="41"/>
      <c r="E59" s="41"/>
      <c r="F59" s="41"/>
      <c r="G59" s="41">
        <v>7</v>
      </c>
      <c r="H59" s="41"/>
      <c r="I59" s="41"/>
      <c r="J59" s="65"/>
      <c r="K59" s="65"/>
      <c r="L59" s="65"/>
      <c r="M59" s="65"/>
    </row>
    <row r="60" spans="1:13" ht="22.5" customHeight="1">
      <c r="A60" s="41"/>
      <c r="B60" s="41"/>
      <c r="C60" s="41"/>
      <c r="D60" s="41"/>
      <c r="E60" s="41"/>
      <c r="F60" s="41"/>
      <c r="G60" s="60" t="s">
        <v>4</v>
      </c>
      <c r="H60" s="60" t="s">
        <v>66</v>
      </c>
      <c r="I60" s="60"/>
      <c r="J60" s="61">
        <f>SUBTOTAL(9,J61:J67)</f>
        <v>5000</v>
      </c>
      <c r="K60" s="61">
        <f>SUBTOTAL(9,K61:K67)</f>
        <v>5000</v>
      </c>
      <c r="L60" s="61">
        <f>SUBTOTAL(9,L61:L67)</f>
        <v>5000</v>
      </c>
      <c r="M60" s="61">
        <f>SUBTOTAL(9,M61:M67)</f>
        <v>5000</v>
      </c>
    </row>
    <row r="61" spans="1:13" ht="30" customHeight="1" hidden="1">
      <c r="A61" s="41"/>
      <c r="B61" s="41"/>
      <c r="C61" s="41"/>
      <c r="D61" s="41"/>
      <c r="E61" s="41"/>
      <c r="F61" s="41"/>
      <c r="G61" s="62"/>
      <c r="H61" s="62"/>
      <c r="I61" s="62"/>
      <c r="J61" s="63"/>
      <c r="K61" s="63"/>
      <c r="L61" s="63"/>
      <c r="M61" s="63"/>
    </row>
    <row r="62" spans="1:13" ht="15">
      <c r="A62" s="41"/>
      <c r="B62" s="41"/>
      <c r="C62" s="41"/>
      <c r="D62" s="64" t="s">
        <v>53</v>
      </c>
      <c r="E62" s="64" t="s">
        <v>1</v>
      </c>
      <c r="F62" s="41"/>
      <c r="G62" s="41"/>
      <c r="H62" s="64" t="s">
        <v>41</v>
      </c>
      <c r="I62" s="64" t="s">
        <v>102</v>
      </c>
      <c r="J62" s="35">
        <v>0</v>
      </c>
      <c r="K62" s="35">
        <v>0</v>
      </c>
      <c r="L62" s="35">
        <v>0</v>
      </c>
      <c r="M62" s="35">
        <v>0</v>
      </c>
    </row>
    <row r="63" spans="1:13" ht="15">
      <c r="A63" s="41"/>
      <c r="B63" s="41"/>
      <c r="C63" s="41"/>
      <c r="D63" s="64" t="s">
        <v>53</v>
      </c>
      <c r="E63" s="64" t="s">
        <v>1</v>
      </c>
      <c r="F63" s="41"/>
      <c r="G63" s="41"/>
      <c r="H63" s="64" t="s">
        <v>42</v>
      </c>
      <c r="I63" s="64" t="s">
        <v>93</v>
      </c>
      <c r="J63" s="35">
        <v>5000</v>
      </c>
      <c r="K63" s="35">
        <v>5000</v>
      </c>
      <c r="L63" s="35">
        <v>5000</v>
      </c>
      <c r="M63" s="35">
        <v>5000</v>
      </c>
    </row>
    <row r="64" spans="1:13" ht="15">
      <c r="A64" s="41"/>
      <c r="B64" s="41"/>
      <c r="C64" s="41"/>
      <c r="D64" s="64" t="s">
        <v>53</v>
      </c>
      <c r="E64" s="64" t="s">
        <v>1</v>
      </c>
      <c r="F64" s="41"/>
      <c r="G64" s="41"/>
      <c r="H64" s="64" t="s">
        <v>43</v>
      </c>
      <c r="I64" s="64" t="s">
        <v>109</v>
      </c>
      <c r="J64" s="35">
        <v>0</v>
      </c>
      <c r="K64" s="35">
        <v>0</v>
      </c>
      <c r="L64" s="35">
        <v>0</v>
      </c>
      <c r="M64" s="35">
        <v>0</v>
      </c>
    </row>
    <row r="65" spans="1:13" ht="15">
      <c r="A65" s="41"/>
      <c r="B65" s="41"/>
      <c r="C65" s="41"/>
      <c r="D65" s="64" t="s">
        <v>53</v>
      </c>
      <c r="E65" s="64" t="s">
        <v>1</v>
      </c>
      <c r="F65" s="41"/>
      <c r="G65" s="41"/>
      <c r="H65" s="64" t="s">
        <v>44</v>
      </c>
      <c r="I65" s="64" t="s">
        <v>58</v>
      </c>
      <c r="J65" s="35">
        <v>0</v>
      </c>
      <c r="K65" s="35">
        <v>0</v>
      </c>
      <c r="L65" s="35">
        <v>0</v>
      </c>
      <c r="M65" s="35">
        <v>0</v>
      </c>
    </row>
    <row r="66" spans="1:13" ht="15">
      <c r="A66" s="41"/>
      <c r="B66" s="41"/>
      <c r="C66" s="41"/>
      <c r="D66" s="64" t="s">
        <v>53</v>
      </c>
      <c r="E66" s="64" t="s">
        <v>1</v>
      </c>
      <c r="F66" s="41"/>
      <c r="G66" s="41"/>
      <c r="H66" s="64" t="s">
        <v>45</v>
      </c>
      <c r="I66" s="64" t="s">
        <v>89</v>
      </c>
      <c r="J66" s="35">
        <v>0</v>
      </c>
      <c r="K66" s="35">
        <v>0</v>
      </c>
      <c r="L66" s="35">
        <v>0</v>
      </c>
      <c r="M66" s="35">
        <v>0</v>
      </c>
    </row>
    <row r="67" spans="1:13" ht="15" hidden="1">
      <c r="A67" s="41"/>
      <c r="B67" s="41"/>
      <c r="C67" s="41"/>
      <c r="D67" s="41"/>
      <c r="E67" s="41"/>
      <c r="F67" s="41"/>
      <c r="G67" s="41">
        <v>7</v>
      </c>
      <c r="H67" s="41"/>
      <c r="I67" s="41"/>
      <c r="J67" s="65"/>
      <c r="K67" s="40"/>
      <c r="L67" s="40"/>
      <c r="M67" s="40"/>
    </row>
    <row r="68" spans="1:13" ht="15" hidden="1">
      <c r="A68" s="41"/>
      <c r="B68" s="41"/>
      <c r="C68" s="41"/>
      <c r="D68" s="41"/>
      <c r="E68" s="41"/>
      <c r="F68" s="41"/>
      <c r="G68" s="41">
        <v>7</v>
      </c>
      <c r="H68" s="41"/>
      <c r="I68" s="41"/>
      <c r="J68" s="65"/>
      <c r="K68" s="40"/>
      <c r="L68" s="40"/>
      <c r="M68" s="40"/>
    </row>
    <row r="69" spans="1:13" ht="19.5" customHeight="1" hidden="1">
      <c r="A69" s="41"/>
      <c r="B69" s="41"/>
      <c r="C69" s="41"/>
      <c r="D69" s="41"/>
      <c r="E69" s="41"/>
      <c r="F69" s="41"/>
      <c r="G69" s="41">
        <v>6</v>
      </c>
      <c r="H69" s="41"/>
      <c r="I69" s="41"/>
      <c r="J69" s="65"/>
      <c r="K69" s="40"/>
      <c r="L69" s="40"/>
      <c r="M69" s="40"/>
    </row>
    <row r="70" spans="1:13" ht="19.5" customHeight="1" hidden="1">
      <c r="A70" s="41"/>
      <c r="B70" s="41"/>
      <c r="C70" s="41"/>
      <c r="D70" s="41"/>
      <c r="E70" s="41"/>
      <c r="F70" s="41"/>
      <c r="G70" s="41">
        <v>5</v>
      </c>
      <c r="H70" s="41"/>
      <c r="I70" s="41"/>
      <c r="J70" s="65"/>
      <c r="K70" s="40"/>
      <c r="L70" s="40"/>
      <c r="M70" s="40"/>
    </row>
    <row r="71" spans="1:13" ht="19.5" customHeight="1" hidden="1">
      <c r="A71" s="41"/>
      <c r="B71" s="41"/>
      <c r="C71" s="41"/>
      <c r="D71" s="41"/>
      <c r="E71" s="41"/>
      <c r="F71" s="41"/>
      <c r="G71" s="41">
        <v>4</v>
      </c>
      <c r="H71" s="41"/>
      <c r="I71" s="41"/>
      <c r="J71" s="65"/>
      <c r="K71" s="40"/>
      <c r="L71" s="40"/>
      <c r="M71" s="40"/>
    </row>
    <row r="72" spans="1:13" ht="19.5" customHeight="1" hidden="1">
      <c r="A72" s="41"/>
      <c r="B72" s="41"/>
      <c r="C72" s="41"/>
      <c r="D72" s="41"/>
      <c r="E72" s="41"/>
      <c r="F72" s="41"/>
      <c r="G72" s="41">
        <v>3</v>
      </c>
      <c r="H72" s="41"/>
      <c r="I72" s="41"/>
      <c r="J72" s="65"/>
      <c r="K72" s="40"/>
      <c r="L72" s="40"/>
      <c r="M72" s="40"/>
    </row>
    <row r="73" spans="1:13" ht="19.5" customHeight="1" hidden="1">
      <c r="A73" s="41"/>
      <c r="B73" s="41"/>
      <c r="C73" s="41"/>
      <c r="D73" s="41"/>
      <c r="E73" s="41"/>
      <c r="F73" s="41"/>
      <c r="G73" s="41">
        <v>2</v>
      </c>
      <c r="H73" s="41"/>
      <c r="I73" s="41"/>
      <c r="J73" s="65"/>
      <c r="K73" s="40"/>
      <c r="L73" s="40"/>
      <c r="M73" s="40"/>
    </row>
    <row r="74" spans="1:13" ht="15" hidden="1">
      <c r="A74" s="41"/>
      <c r="B74" s="41"/>
      <c r="C74" s="41"/>
      <c r="D74" s="41"/>
      <c r="E74" s="41"/>
      <c r="F74" s="41"/>
      <c r="G74" s="41">
        <v>1</v>
      </c>
      <c r="H74" s="41"/>
      <c r="I74" s="41"/>
      <c r="J74" s="65"/>
      <c r="K74" s="40"/>
      <c r="L74" s="40"/>
      <c r="M74" s="40"/>
    </row>
    <row r="75" spans="1:13" ht="15" hidden="1">
      <c r="A75" s="41"/>
      <c r="B75" s="41"/>
      <c r="C75" s="41"/>
      <c r="D75" s="41"/>
      <c r="E75" s="41"/>
      <c r="F75" s="41"/>
      <c r="G75" s="41" t="s">
        <v>54</v>
      </c>
      <c r="H75" s="41"/>
      <c r="I75" s="41"/>
      <c r="J75" s="65"/>
      <c r="K75" s="40"/>
      <c r="L75" s="40"/>
      <c r="M75" s="40"/>
    </row>
    <row r="76" spans="1:13" ht="27.75" customHeight="1">
      <c r="A76" s="66" t="s">
        <v>55</v>
      </c>
      <c r="B76" s="66"/>
      <c r="C76" s="66"/>
      <c r="D76" s="66"/>
      <c r="E76" s="66"/>
      <c r="F76" s="66"/>
      <c r="G76" s="66"/>
      <c r="H76" s="66"/>
      <c r="I76" s="66"/>
      <c r="J76" s="67">
        <f>SUBTOTAL(9,J22:J75)</f>
        <v>5640944</v>
      </c>
      <c r="K76" s="67">
        <f>SUBTOTAL(9,K22:K75)</f>
        <v>6251055</v>
      </c>
      <c r="L76" s="67">
        <f>SUBTOTAL(9,L22:L75)</f>
        <v>6142262.32</v>
      </c>
      <c r="M76" s="67">
        <f>SUBTOTAL(9,M22:M75)</f>
        <v>6212481.02415</v>
      </c>
    </row>
    <row r="77" spans="1:1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</sheetData>
  <sheetProtection/>
  <mergeCells count="2">
    <mergeCell ref="A3:J3"/>
    <mergeCell ref="A4:M4"/>
  </mergeCells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81"/>
  <sheetViews>
    <sheetView zoomScalePageLayoutView="0" workbookViewId="0" topLeftCell="H7">
      <selection activeCell="W27" sqref="W27"/>
    </sheetView>
  </sheetViews>
  <sheetFormatPr defaultColWidth="9.140625" defaultRowHeight="15"/>
  <cols>
    <col min="1" max="1" width="4.7109375" style="30" customWidth="1"/>
    <col min="2" max="3" width="6.7109375" style="30" customWidth="1"/>
    <col min="4" max="4" width="9.8515625" style="30" customWidth="1"/>
    <col min="5" max="5" width="4.7109375" style="30" customWidth="1"/>
    <col min="6" max="6" width="9.7109375" style="30" customWidth="1"/>
    <col min="7" max="8" width="9.140625" style="30" customWidth="1"/>
    <col min="9" max="9" width="23.8515625" style="30" customWidth="1"/>
    <col min="10" max="10" width="19.7109375" style="30" customWidth="1"/>
    <col min="11" max="11" width="15.57421875" style="30" customWidth="1"/>
    <col min="12" max="12" width="12.7109375" style="30" customWidth="1"/>
    <col min="13" max="13" width="12.140625" style="30" customWidth="1"/>
    <col min="14" max="14" width="11.8515625" style="30" customWidth="1"/>
    <col min="15" max="15" width="11.421875" style="30" customWidth="1"/>
    <col min="16" max="16" width="13.28125" style="30" customWidth="1"/>
    <col min="17" max="17" width="14.00390625" style="30" customWidth="1"/>
    <col min="18" max="18" width="13.8515625" style="30" customWidth="1"/>
    <col min="19" max="19" width="11.8515625" style="30" customWidth="1"/>
    <col min="20" max="20" width="12.00390625" style="30" customWidth="1"/>
    <col min="21" max="22" width="10.57421875" style="30" customWidth="1"/>
    <col min="23" max="23" width="13.57421875" style="30" customWidth="1"/>
    <col min="24" max="24" width="14.00390625" style="30" customWidth="1"/>
    <col min="25" max="25" width="14.57421875" style="30" customWidth="1"/>
    <col min="26" max="26" width="10.421875" style="30" bestFit="1" customWidth="1"/>
    <col min="27" max="27" width="9.57421875" style="30" bestFit="1" customWidth="1"/>
    <col min="28" max="16384" width="9.140625" style="30" customWidth="1"/>
  </cols>
  <sheetData>
    <row r="1" ht="12" customHeight="1"/>
    <row r="2" ht="12">
      <c r="A2" s="72" t="s">
        <v>69</v>
      </c>
    </row>
    <row r="3" spans="1:11" ht="20.2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73"/>
    </row>
    <row r="4" spans="1:25" ht="20.25" customHeight="1">
      <c r="A4" s="268" t="s">
        <v>122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</row>
    <row r="6" spans="1:25" ht="24">
      <c r="A6" s="74" t="s">
        <v>47</v>
      </c>
      <c r="B6" s="74" t="s">
        <v>50</v>
      </c>
      <c r="C6" s="74" t="s">
        <v>52</v>
      </c>
      <c r="D6" s="74" t="s">
        <v>91</v>
      </c>
      <c r="E6" s="74" t="s">
        <v>49</v>
      </c>
      <c r="F6" s="74" t="s">
        <v>59</v>
      </c>
      <c r="G6" s="74" t="s">
        <v>60</v>
      </c>
      <c r="H6" s="74" t="s">
        <v>61</v>
      </c>
      <c r="I6" s="74" t="str">
        <f>CONCATENATE("Naziv ",,H6)</f>
        <v>Naziv Konto 4. razina</v>
      </c>
      <c r="J6" s="77" t="s">
        <v>137</v>
      </c>
      <c r="K6" s="75" t="s">
        <v>72</v>
      </c>
      <c r="L6" s="76" t="s">
        <v>123</v>
      </c>
      <c r="M6" s="76" t="s">
        <v>124</v>
      </c>
      <c r="N6" s="76" t="s">
        <v>125</v>
      </c>
      <c r="O6" s="76" t="s">
        <v>126</v>
      </c>
      <c r="P6" s="76" t="s">
        <v>127</v>
      </c>
      <c r="Q6" s="76" t="s">
        <v>128</v>
      </c>
      <c r="R6" s="76" t="s">
        <v>129</v>
      </c>
      <c r="S6" s="76" t="s">
        <v>130</v>
      </c>
      <c r="T6" s="76" t="s">
        <v>131</v>
      </c>
      <c r="U6" s="76" t="s">
        <v>132</v>
      </c>
      <c r="V6" s="76" t="s">
        <v>133</v>
      </c>
      <c r="W6" s="76" t="s">
        <v>134</v>
      </c>
      <c r="X6" s="76" t="s">
        <v>135</v>
      </c>
      <c r="Y6" s="76" t="s">
        <v>136</v>
      </c>
    </row>
    <row r="7" spans="1:25" ht="15.75" customHeight="1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8">
        <v>13</v>
      </c>
      <c r="L7" s="78">
        <v>14</v>
      </c>
      <c r="M7" s="78">
        <v>15</v>
      </c>
      <c r="N7" s="78">
        <v>16</v>
      </c>
      <c r="O7" s="78">
        <v>17</v>
      </c>
      <c r="P7" s="78">
        <v>18</v>
      </c>
      <c r="Q7" s="78">
        <v>19</v>
      </c>
      <c r="R7" s="78">
        <v>20</v>
      </c>
      <c r="S7" s="78">
        <v>21</v>
      </c>
      <c r="T7" s="78">
        <v>22</v>
      </c>
      <c r="U7" s="78">
        <v>23</v>
      </c>
      <c r="V7" s="78">
        <v>24</v>
      </c>
      <c r="W7" s="78">
        <v>25</v>
      </c>
      <c r="X7" s="78">
        <v>26</v>
      </c>
      <c r="Y7" s="78">
        <v>27</v>
      </c>
    </row>
    <row r="8" spans="1:25" ht="23.25" customHeight="1">
      <c r="A8" s="79" t="s">
        <v>5</v>
      </c>
      <c r="B8" s="79" t="s">
        <v>63</v>
      </c>
      <c r="C8" s="79"/>
      <c r="D8" s="79"/>
      <c r="E8" s="79"/>
      <c r="F8" s="79"/>
      <c r="G8" s="79"/>
      <c r="H8" s="79"/>
      <c r="I8" s="79"/>
      <c r="J8" s="80">
        <f aca="true" t="shared" si="0" ref="J8:Y8">SUBTOTAL(9,J9:J74)</f>
        <v>6152608</v>
      </c>
      <c r="K8" s="80">
        <f t="shared" si="0"/>
        <v>5983661</v>
      </c>
      <c r="L8" s="80">
        <f>SUBTOTAL(9,L9:L74)</f>
        <v>423641.4699999999</v>
      </c>
      <c r="M8" s="80">
        <f t="shared" si="0"/>
        <v>437595.08</v>
      </c>
      <c r="N8" s="80">
        <f>SUBTOTAL(9,N9:N74)</f>
        <v>446265.98</v>
      </c>
      <c r="O8" s="80">
        <f t="shared" si="0"/>
        <v>435686.92</v>
      </c>
      <c r="P8" s="80">
        <f t="shared" si="0"/>
        <v>421071.61</v>
      </c>
      <c r="Q8" s="80">
        <f t="shared" si="0"/>
        <v>489062.37000000005</v>
      </c>
      <c r="R8" s="80">
        <f t="shared" si="0"/>
        <v>450258.29</v>
      </c>
      <c r="S8" s="80">
        <f t="shared" si="0"/>
        <v>342819.23</v>
      </c>
      <c r="T8" s="80">
        <f t="shared" si="0"/>
        <v>585451.9000000001</v>
      </c>
      <c r="U8" s="80">
        <f t="shared" si="0"/>
        <v>426659.92999999993</v>
      </c>
      <c r="V8" s="80">
        <f t="shared" si="0"/>
        <v>428997.6199999999</v>
      </c>
      <c r="W8" s="80">
        <f t="shared" si="0"/>
        <v>363470.7199999999</v>
      </c>
      <c r="X8" s="80">
        <f t="shared" si="0"/>
        <v>5250981.119999998</v>
      </c>
      <c r="Y8" s="80">
        <f t="shared" si="0"/>
        <v>732679.8800000004</v>
      </c>
    </row>
    <row r="9" spans="1:25" ht="30" customHeight="1" hidden="1">
      <c r="A9" s="79"/>
      <c r="B9" s="79"/>
      <c r="C9" s="79"/>
      <c r="D9" s="79"/>
      <c r="E9" s="79"/>
      <c r="F9" s="79"/>
      <c r="G9" s="79"/>
      <c r="H9" s="79"/>
      <c r="I9" s="79"/>
      <c r="J9" s="8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23.25" customHeight="1">
      <c r="A10" s="19"/>
      <c r="B10" s="82" t="s">
        <v>46</v>
      </c>
      <c r="C10" s="82" t="s">
        <v>82</v>
      </c>
      <c r="D10" s="82"/>
      <c r="E10" s="82"/>
      <c r="F10" s="82"/>
      <c r="G10" s="82"/>
      <c r="H10" s="82"/>
      <c r="I10" s="82"/>
      <c r="J10" s="83">
        <f>SUBTOTAL(9,J11:J73)</f>
        <v>6152608</v>
      </c>
      <c r="K10" s="83">
        <f>SUBTOTAL(9,K11:K73)</f>
        <v>5983661</v>
      </c>
      <c r="L10" s="83">
        <f aca="true" t="shared" si="1" ref="L10:Y10">SUBTOTAL(9,L11:L73)</f>
        <v>423641.4699999999</v>
      </c>
      <c r="M10" s="83">
        <f t="shared" si="1"/>
        <v>437595.08</v>
      </c>
      <c r="N10" s="83">
        <f>SUBTOTAL(9,N11:N73)</f>
        <v>446265.98</v>
      </c>
      <c r="O10" s="83">
        <f t="shared" si="1"/>
        <v>435686.92</v>
      </c>
      <c r="P10" s="83">
        <f t="shared" si="1"/>
        <v>421071.61</v>
      </c>
      <c r="Q10" s="83">
        <f t="shared" si="1"/>
        <v>489062.37000000005</v>
      </c>
      <c r="R10" s="83">
        <f t="shared" si="1"/>
        <v>450258.29</v>
      </c>
      <c r="S10" s="83">
        <f t="shared" si="1"/>
        <v>342819.23</v>
      </c>
      <c r="T10" s="83">
        <f t="shared" si="1"/>
        <v>585451.9000000001</v>
      </c>
      <c r="U10" s="83">
        <f t="shared" si="1"/>
        <v>426659.92999999993</v>
      </c>
      <c r="V10" s="83">
        <f t="shared" si="1"/>
        <v>428997.6199999999</v>
      </c>
      <c r="W10" s="83">
        <f t="shared" si="1"/>
        <v>363470.7199999999</v>
      </c>
      <c r="X10" s="83">
        <f t="shared" si="1"/>
        <v>5250981.119999998</v>
      </c>
      <c r="Y10" s="83">
        <f t="shared" si="1"/>
        <v>732679.8800000004</v>
      </c>
    </row>
    <row r="11" spans="1:25" ht="30" customHeight="1" hidden="1">
      <c r="A11" s="19"/>
      <c r="B11" s="82"/>
      <c r="C11" s="82"/>
      <c r="D11" s="82"/>
      <c r="E11" s="82"/>
      <c r="F11" s="82"/>
      <c r="G11" s="82"/>
      <c r="H11" s="82"/>
      <c r="I11" s="82"/>
      <c r="J11" s="83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24" customHeight="1">
      <c r="A12" s="19"/>
      <c r="B12" s="19"/>
      <c r="C12" s="84" t="s">
        <v>6</v>
      </c>
      <c r="D12" s="84" t="s">
        <v>77</v>
      </c>
      <c r="E12" s="84"/>
      <c r="F12" s="84"/>
      <c r="G12" s="84"/>
      <c r="H12" s="84"/>
      <c r="I12" s="84"/>
      <c r="J12" s="85">
        <f>SUBTOTAL(9,J13:J72)</f>
        <v>6152608</v>
      </c>
      <c r="K12" s="85">
        <f>SUBTOTAL(9,K13:K72)</f>
        <v>5983661</v>
      </c>
      <c r="L12" s="85">
        <f aca="true" t="shared" si="2" ref="L12:Y12">SUBTOTAL(9,L13:L72)</f>
        <v>423641.4699999999</v>
      </c>
      <c r="M12" s="85">
        <f t="shared" si="2"/>
        <v>437595.08</v>
      </c>
      <c r="N12" s="85">
        <f>SUBTOTAL(9,N13:N72)</f>
        <v>446265.98</v>
      </c>
      <c r="O12" s="85">
        <f t="shared" si="2"/>
        <v>435686.92</v>
      </c>
      <c r="P12" s="85">
        <f t="shared" si="2"/>
        <v>421071.61</v>
      </c>
      <c r="Q12" s="85">
        <f t="shared" si="2"/>
        <v>489062.37000000005</v>
      </c>
      <c r="R12" s="85">
        <f t="shared" si="2"/>
        <v>450258.29</v>
      </c>
      <c r="S12" s="85">
        <f t="shared" si="2"/>
        <v>342819.23</v>
      </c>
      <c r="T12" s="85">
        <f t="shared" si="2"/>
        <v>585451.9000000001</v>
      </c>
      <c r="U12" s="85">
        <f t="shared" si="2"/>
        <v>426659.92999999993</v>
      </c>
      <c r="V12" s="85">
        <f t="shared" si="2"/>
        <v>428997.6199999999</v>
      </c>
      <c r="W12" s="85">
        <f t="shared" si="2"/>
        <v>363470.7199999999</v>
      </c>
      <c r="X12" s="85">
        <f t="shared" si="2"/>
        <v>5250981.119999998</v>
      </c>
      <c r="Y12" s="85">
        <f t="shared" si="2"/>
        <v>732679.8800000004</v>
      </c>
    </row>
    <row r="13" spans="1:25" ht="30" customHeight="1" hidden="1">
      <c r="A13" s="19"/>
      <c r="B13" s="19"/>
      <c r="C13" s="84"/>
      <c r="D13" s="84"/>
      <c r="E13" s="84"/>
      <c r="F13" s="84"/>
      <c r="G13" s="84"/>
      <c r="H13" s="84"/>
      <c r="I13" s="84"/>
      <c r="J13" s="85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 ht="23.25" customHeight="1">
      <c r="A14" s="19"/>
      <c r="B14" s="19"/>
      <c r="C14" s="19"/>
      <c r="D14" s="86" t="s">
        <v>120</v>
      </c>
      <c r="E14" s="86" t="s">
        <v>87</v>
      </c>
      <c r="F14" s="86"/>
      <c r="G14" s="86"/>
      <c r="H14" s="86"/>
      <c r="I14" s="86"/>
      <c r="J14" s="87">
        <f>SUBTOTAL(9,J15:J71)</f>
        <v>6152608</v>
      </c>
      <c r="K14" s="87">
        <f>SUBTOTAL(9,K15:K71)</f>
        <v>5983661</v>
      </c>
      <c r="L14" s="87">
        <f aca="true" t="shared" si="3" ref="L14:Y14">SUBTOTAL(9,L15:L71)</f>
        <v>423641.4699999999</v>
      </c>
      <c r="M14" s="87">
        <f t="shared" si="3"/>
        <v>437595.08</v>
      </c>
      <c r="N14" s="87">
        <f>SUBTOTAL(9,N15:N71)+150</f>
        <v>446415.98</v>
      </c>
      <c r="O14" s="87">
        <f t="shared" si="3"/>
        <v>435686.92</v>
      </c>
      <c r="P14" s="87">
        <f t="shared" si="3"/>
        <v>421071.61</v>
      </c>
      <c r="Q14" s="87">
        <f t="shared" si="3"/>
        <v>489062.37000000005</v>
      </c>
      <c r="R14" s="87">
        <f t="shared" si="3"/>
        <v>450258.29</v>
      </c>
      <c r="S14" s="87">
        <f t="shared" si="3"/>
        <v>342819.23</v>
      </c>
      <c r="T14" s="87">
        <f t="shared" si="3"/>
        <v>585451.9000000001</v>
      </c>
      <c r="U14" s="87">
        <f t="shared" si="3"/>
        <v>426659.92999999993</v>
      </c>
      <c r="V14" s="87">
        <f t="shared" si="3"/>
        <v>428997.6199999999</v>
      </c>
      <c r="W14" s="87">
        <f t="shared" si="3"/>
        <v>363470.7199999999</v>
      </c>
      <c r="X14" s="87">
        <f t="shared" si="3"/>
        <v>5250981.119999998</v>
      </c>
      <c r="Y14" s="87">
        <f t="shared" si="3"/>
        <v>732679.8800000004</v>
      </c>
    </row>
    <row r="15" spans="1:25" ht="30" customHeight="1" hidden="1">
      <c r="A15" s="19"/>
      <c r="B15" s="19"/>
      <c r="C15" s="19"/>
      <c r="D15" s="86"/>
      <c r="E15" s="86"/>
      <c r="F15" s="86"/>
      <c r="G15" s="86"/>
      <c r="H15" s="86"/>
      <c r="I15" s="86"/>
      <c r="J15" s="87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22.5" customHeight="1">
      <c r="A16" s="19"/>
      <c r="B16" s="19"/>
      <c r="C16" s="19"/>
      <c r="D16" s="19"/>
      <c r="E16" s="88" t="s">
        <v>1</v>
      </c>
      <c r="F16" s="88" t="s">
        <v>76</v>
      </c>
      <c r="G16" s="88"/>
      <c r="H16" s="88"/>
      <c r="I16" s="88"/>
      <c r="J16" s="89">
        <f aca="true" t="shared" si="4" ref="J16:Y16">SUBTOTAL(9,J17:J70)</f>
        <v>6152608</v>
      </c>
      <c r="K16" s="89">
        <f t="shared" si="4"/>
        <v>5983661</v>
      </c>
      <c r="L16" s="89">
        <f t="shared" si="4"/>
        <v>423641.4699999999</v>
      </c>
      <c r="M16" s="89">
        <f t="shared" si="4"/>
        <v>437595.08</v>
      </c>
      <c r="N16" s="89">
        <f>SUBTOTAL(9,N17:N70)+150</f>
        <v>446415.98</v>
      </c>
      <c r="O16" s="89">
        <f t="shared" si="4"/>
        <v>435686.92</v>
      </c>
      <c r="P16" s="89">
        <f t="shared" si="4"/>
        <v>421071.61</v>
      </c>
      <c r="Q16" s="89">
        <f t="shared" si="4"/>
        <v>489062.37000000005</v>
      </c>
      <c r="R16" s="89">
        <f t="shared" si="4"/>
        <v>450258.29</v>
      </c>
      <c r="S16" s="89">
        <f t="shared" si="4"/>
        <v>342819.23</v>
      </c>
      <c r="T16" s="89">
        <f t="shared" si="4"/>
        <v>585451.9000000001</v>
      </c>
      <c r="U16" s="89">
        <f t="shared" si="4"/>
        <v>426659.92999999993</v>
      </c>
      <c r="V16" s="89">
        <f t="shared" si="4"/>
        <v>428997.6199999999</v>
      </c>
      <c r="W16" s="89">
        <f t="shared" si="4"/>
        <v>363470.7199999999</v>
      </c>
      <c r="X16" s="89">
        <f t="shared" si="4"/>
        <v>5250981.119999998</v>
      </c>
      <c r="Y16" s="89">
        <f t="shared" si="4"/>
        <v>732679.8800000004</v>
      </c>
    </row>
    <row r="17" spans="1:25" ht="30" customHeight="1" hidden="1">
      <c r="A17" s="19"/>
      <c r="B17" s="19"/>
      <c r="C17" s="19"/>
      <c r="D17" s="19"/>
      <c r="E17" s="88"/>
      <c r="F17" s="88"/>
      <c r="G17" s="88"/>
      <c r="H17" s="88"/>
      <c r="I17" s="88"/>
      <c r="J17" s="8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ht="23.25" customHeight="1">
      <c r="A18" s="19"/>
      <c r="B18" s="19"/>
      <c r="C18" s="19"/>
      <c r="D18" s="19"/>
      <c r="E18" s="19"/>
      <c r="F18" s="15" t="s">
        <v>0</v>
      </c>
      <c r="G18" s="15" t="s">
        <v>65</v>
      </c>
      <c r="H18" s="15"/>
      <c r="I18" s="15"/>
      <c r="J18" s="16">
        <f>SUBTOTAL(9,J19:J68)</f>
        <v>6152608</v>
      </c>
      <c r="K18" s="16">
        <f>SUBTOTAL(9,K19:K68)</f>
        <v>5983661</v>
      </c>
      <c r="L18" s="16">
        <f>SUBTOTAL(9,L19:L68)</f>
        <v>423641.4699999999</v>
      </c>
      <c r="M18" s="16">
        <f>SUBTOTAL(9,M19:M68)</f>
        <v>437595.08</v>
      </c>
      <c r="N18" s="16">
        <f>SUBTOTAL(9,N19:N68)+150</f>
        <v>446415.98</v>
      </c>
      <c r="O18" s="16">
        <f aca="true" t="shared" si="5" ref="O18:Y18">SUBTOTAL(9,O19:O68)</f>
        <v>435686.92</v>
      </c>
      <c r="P18" s="16">
        <f t="shared" si="5"/>
        <v>421071.61</v>
      </c>
      <c r="Q18" s="16">
        <f t="shared" si="5"/>
        <v>489062.37000000005</v>
      </c>
      <c r="R18" s="16">
        <f t="shared" si="5"/>
        <v>450258.29</v>
      </c>
      <c r="S18" s="16">
        <f t="shared" si="5"/>
        <v>342819.23</v>
      </c>
      <c r="T18" s="16">
        <f t="shared" si="5"/>
        <v>585451.9000000001</v>
      </c>
      <c r="U18" s="16">
        <f t="shared" si="5"/>
        <v>426659.92999999993</v>
      </c>
      <c r="V18" s="16">
        <f t="shared" si="5"/>
        <v>428997.6199999999</v>
      </c>
      <c r="W18" s="16">
        <f t="shared" si="5"/>
        <v>363470.7199999999</v>
      </c>
      <c r="X18" s="16">
        <f t="shared" si="5"/>
        <v>5250981.119999998</v>
      </c>
      <c r="Y18" s="16">
        <f t="shared" si="5"/>
        <v>732679.8800000004</v>
      </c>
    </row>
    <row r="19" spans="1:25" ht="30" customHeight="1" hidden="1">
      <c r="A19" s="19"/>
      <c r="B19" s="19"/>
      <c r="C19" s="19"/>
      <c r="D19" s="19"/>
      <c r="E19" s="19"/>
      <c r="F19" s="15"/>
      <c r="G19" s="15"/>
      <c r="H19" s="15"/>
      <c r="I19" s="15"/>
      <c r="J19" s="16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ht="22.5" customHeight="1">
      <c r="A20" s="19"/>
      <c r="B20" s="19"/>
      <c r="C20" s="19"/>
      <c r="D20" s="19"/>
      <c r="E20" s="19"/>
      <c r="F20" s="19"/>
      <c r="G20" s="17" t="s">
        <v>2</v>
      </c>
      <c r="H20" s="17" t="s">
        <v>74</v>
      </c>
      <c r="I20" s="17"/>
      <c r="J20" s="18">
        <f>SUBTOTAL(9,J21:J29)</f>
        <v>4348056</v>
      </c>
      <c r="K20" s="18">
        <f>SUBTOTAL(9,K21:K29)</f>
        <v>4221161</v>
      </c>
      <c r="L20" s="18">
        <f>SUBTOTAL(9,L21:L29)</f>
        <v>298647.57</v>
      </c>
      <c r="M20" s="18">
        <f aca="true" t="shared" si="6" ref="M20:Y20">SUBTOTAL(9,M21:M29)</f>
        <v>312767</v>
      </c>
      <c r="N20" s="18">
        <f>SUBTOTAL(9,N21:N29)</f>
        <v>318198</v>
      </c>
      <c r="O20" s="18">
        <f t="shared" si="6"/>
        <v>314967.74</v>
      </c>
      <c r="P20" s="18">
        <f t="shared" si="6"/>
        <v>311080.92</v>
      </c>
      <c r="Q20" s="18">
        <f t="shared" si="6"/>
        <v>365324.39</v>
      </c>
      <c r="R20" s="18">
        <f t="shared" si="6"/>
        <v>307631.62</v>
      </c>
      <c r="S20" s="18">
        <f t="shared" si="6"/>
        <v>309803.62</v>
      </c>
      <c r="T20" s="18">
        <f t="shared" si="6"/>
        <v>328550.55000000005</v>
      </c>
      <c r="U20" s="18">
        <f t="shared" si="6"/>
        <v>292964.36</v>
      </c>
      <c r="V20" s="18">
        <f t="shared" si="6"/>
        <v>280912.74</v>
      </c>
      <c r="W20" s="18">
        <f t="shared" si="6"/>
        <v>278357.41</v>
      </c>
      <c r="X20" s="18">
        <f t="shared" si="6"/>
        <v>3719205.92</v>
      </c>
      <c r="Y20" s="18">
        <f t="shared" si="6"/>
        <v>501955.08000000025</v>
      </c>
    </row>
    <row r="21" spans="1:25" ht="30" customHeight="1" hidden="1">
      <c r="A21" s="19"/>
      <c r="B21" s="19"/>
      <c r="C21" s="19"/>
      <c r="D21" s="19"/>
      <c r="E21" s="19"/>
      <c r="F21" s="19"/>
      <c r="G21" s="90"/>
      <c r="H21" s="90"/>
      <c r="I21" s="90"/>
      <c r="J21" s="9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ht="12">
      <c r="A22" s="19"/>
      <c r="B22" s="19"/>
      <c r="C22" s="19"/>
      <c r="D22" s="19" t="s">
        <v>53</v>
      </c>
      <c r="E22" s="19" t="s">
        <v>1</v>
      </c>
      <c r="F22" s="19"/>
      <c r="G22" s="19"/>
      <c r="H22" s="19" t="s">
        <v>7</v>
      </c>
      <c r="I22" s="19" t="s">
        <v>92</v>
      </c>
      <c r="J22" s="24">
        <v>3627966</v>
      </c>
      <c r="K22" s="97">
        <v>3472847</v>
      </c>
      <c r="L22" s="21">
        <v>256388.13</v>
      </c>
      <c r="M22" s="21">
        <v>268392.85000000003</v>
      </c>
      <c r="N22" s="34">
        <f>268370.33-80.51</f>
        <v>268289.82</v>
      </c>
      <c r="O22" s="34">
        <v>266958.8</v>
      </c>
      <c r="P22" s="34">
        <v>266936.04</v>
      </c>
      <c r="Q22" s="34">
        <v>268085.08</v>
      </c>
      <c r="R22" s="34">
        <v>259786.16</v>
      </c>
      <c r="S22" s="110">
        <v>265925.83</v>
      </c>
      <c r="T22" s="110">
        <v>268354.32</v>
      </c>
      <c r="U22" s="114">
        <v>251348.98</v>
      </c>
      <c r="V22" s="114">
        <v>237318.77999999997</v>
      </c>
      <c r="W22" s="34">
        <v>227226.44999999998</v>
      </c>
      <c r="X22" s="94">
        <f>SUM(L22:W22)</f>
        <v>3105011.2399999998</v>
      </c>
      <c r="Y22" s="70">
        <f>+K22-X22</f>
        <v>367835.76000000024</v>
      </c>
    </row>
    <row r="23" spans="1:25" ht="12">
      <c r="A23" s="19"/>
      <c r="B23" s="19"/>
      <c r="C23" s="19"/>
      <c r="D23" s="19" t="s">
        <v>53</v>
      </c>
      <c r="E23" s="19" t="s">
        <v>1</v>
      </c>
      <c r="F23" s="19"/>
      <c r="G23" s="19"/>
      <c r="H23" s="19" t="s">
        <v>8</v>
      </c>
      <c r="I23" s="19" t="s">
        <v>80</v>
      </c>
      <c r="J23" s="21"/>
      <c r="K23" s="98">
        <f>(J23+J23*5.5/100)</f>
        <v>0</v>
      </c>
      <c r="L23" s="22"/>
      <c r="M23" s="24"/>
      <c r="N23" s="99"/>
      <c r="O23" s="20"/>
      <c r="P23" s="22"/>
      <c r="Q23" s="20"/>
      <c r="R23" s="107"/>
      <c r="S23" s="107"/>
      <c r="T23" s="107"/>
      <c r="U23" s="115"/>
      <c r="V23" s="115"/>
      <c r="W23" s="20"/>
      <c r="X23" s="94">
        <f aca="true" t="shared" si="7" ref="X23:X28">SUM(L23:W23)</f>
        <v>0</v>
      </c>
      <c r="Y23" s="70">
        <f aca="true" t="shared" si="8" ref="Y23:Y28">+K23-X23</f>
        <v>0</v>
      </c>
    </row>
    <row r="24" spans="1:26" ht="12">
      <c r="A24" s="19"/>
      <c r="B24" s="19"/>
      <c r="C24" s="19"/>
      <c r="D24" s="19" t="s">
        <v>53</v>
      </c>
      <c r="E24" s="19" t="s">
        <v>1</v>
      </c>
      <c r="F24" s="19"/>
      <c r="G24" s="19"/>
      <c r="H24" s="19" t="s">
        <v>9</v>
      </c>
      <c r="I24" s="19" t="s">
        <v>96</v>
      </c>
      <c r="J24" s="21">
        <v>9000</v>
      </c>
      <c r="K24" s="98">
        <v>19000</v>
      </c>
      <c r="L24" s="22"/>
      <c r="M24" s="24"/>
      <c r="N24" s="28"/>
      <c r="O24" s="20"/>
      <c r="P24" s="22"/>
      <c r="Q24" s="20"/>
      <c r="R24" s="22"/>
      <c r="S24" s="111"/>
      <c r="T24" s="111"/>
      <c r="U24" s="116"/>
      <c r="V24" s="117">
        <v>3528.39</v>
      </c>
      <c r="W24" s="20"/>
      <c r="X24" s="94">
        <f t="shared" si="7"/>
        <v>3528.39</v>
      </c>
      <c r="Y24" s="70">
        <f t="shared" si="8"/>
        <v>15471.61</v>
      </c>
      <c r="Z24" s="95">
        <f>+K20+K33</f>
        <v>4341161</v>
      </c>
    </row>
    <row r="25" spans="1:25" ht="12">
      <c r="A25" s="19"/>
      <c r="B25" s="19"/>
      <c r="C25" s="19"/>
      <c r="D25" s="19" t="s">
        <v>53</v>
      </c>
      <c r="E25" s="19" t="s">
        <v>1</v>
      </c>
      <c r="F25" s="19"/>
      <c r="G25" s="19"/>
      <c r="H25" s="19" t="s">
        <v>10</v>
      </c>
      <c r="I25" s="19" t="s">
        <v>79</v>
      </c>
      <c r="J25" s="24">
        <v>110776</v>
      </c>
      <c r="K25" s="98">
        <v>129000</v>
      </c>
      <c r="L25" s="21"/>
      <c r="M25" s="25"/>
      <c r="N25" s="21">
        <v>5398.35</v>
      </c>
      <c r="O25" s="34">
        <v>3750</v>
      </c>
      <c r="P25" s="34"/>
      <c r="Q25" s="34">
        <f>48000+4721.27</f>
        <v>52721.270000000004</v>
      </c>
      <c r="R25" s="34">
        <v>4660.23</v>
      </c>
      <c r="S25" s="110"/>
      <c r="T25" s="110">
        <v>15794.02</v>
      </c>
      <c r="U25" s="114">
        <v>122.55</v>
      </c>
      <c r="V25" s="114">
        <v>279.63</v>
      </c>
      <c r="W25" s="21">
        <f>7200+40500+3430.96</f>
        <v>51130.96</v>
      </c>
      <c r="X25" s="94">
        <f t="shared" si="7"/>
        <v>133857.01</v>
      </c>
      <c r="Y25" s="70">
        <f t="shared" si="8"/>
        <v>-4857.010000000009</v>
      </c>
    </row>
    <row r="26" spans="1:26" ht="12">
      <c r="A26" s="19"/>
      <c r="B26" s="19"/>
      <c r="C26" s="19"/>
      <c r="D26" s="19" t="s">
        <v>53</v>
      </c>
      <c r="E26" s="19" t="s">
        <v>1</v>
      </c>
      <c r="F26" s="19"/>
      <c r="G26" s="19"/>
      <c r="H26" s="26">
        <v>3114</v>
      </c>
      <c r="I26" s="27" t="s">
        <v>113</v>
      </c>
      <c r="J26" s="20">
        <v>1700</v>
      </c>
      <c r="K26" s="98">
        <v>1700</v>
      </c>
      <c r="L26" s="21"/>
      <c r="M26" s="21">
        <v>76.68</v>
      </c>
      <c r="N26" s="34">
        <v>80.51</v>
      </c>
      <c r="O26" s="103">
        <v>74.68</v>
      </c>
      <c r="P26" s="34">
        <v>86.21</v>
      </c>
      <c r="Q26" s="20"/>
      <c r="R26" s="34">
        <v>101.31</v>
      </c>
      <c r="S26" s="110"/>
      <c r="T26" s="110">
        <v>106.21</v>
      </c>
      <c r="U26" s="114"/>
      <c r="V26" s="114"/>
      <c r="W26" s="20"/>
      <c r="X26" s="94">
        <f t="shared" si="7"/>
        <v>525.6</v>
      </c>
      <c r="Y26" s="70">
        <f t="shared" si="8"/>
        <v>1174.4</v>
      </c>
      <c r="Z26" s="81">
        <f>+X20-X25</f>
        <v>3585348.91</v>
      </c>
    </row>
    <row r="27" spans="1:25" ht="12">
      <c r="A27" s="19"/>
      <c r="B27" s="19"/>
      <c r="C27" s="19"/>
      <c r="D27" s="19" t="s">
        <v>53</v>
      </c>
      <c r="E27" s="19" t="s">
        <v>1</v>
      </c>
      <c r="F27" s="19"/>
      <c r="G27" s="19"/>
      <c r="H27" s="19" t="s">
        <v>11</v>
      </c>
      <c r="I27" s="19" t="s">
        <v>94</v>
      </c>
      <c r="J27" s="21">
        <v>598614</v>
      </c>
      <c r="K27" s="20">
        <v>598614</v>
      </c>
      <c r="L27" s="21">
        <v>42259.44</v>
      </c>
      <c r="M27" s="21">
        <v>44297.47</v>
      </c>
      <c r="N27" s="34">
        <f>44281.09+148.23</f>
        <v>44429.32</v>
      </c>
      <c r="O27" s="34">
        <f>44060.51+123.75</f>
        <v>44184.26</v>
      </c>
      <c r="P27" s="34">
        <v>44058.67</v>
      </c>
      <c r="Q27" s="34">
        <f>44234.03+284.01</f>
        <v>44518.04</v>
      </c>
      <c r="R27" s="34">
        <f>42881.45+202.47</f>
        <v>43083.92</v>
      </c>
      <c r="S27" s="110">
        <v>43877.79</v>
      </c>
      <c r="T27" s="110">
        <v>44296</v>
      </c>
      <c r="U27" s="114">
        <v>41492.83</v>
      </c>
      <c r="V27" s="114">
        <v>39785.94</v>
      </c>
      <c r="W27" s="33"/>
      <c r="X27" s="94">
        <f t="shared" si="7"/>
        <v>476283.68</v>
      </c>
      <c r="Y27" s="70">
        <f t="shared" si="8"/>
        <v>122330.32</v>
      </c>
    </row>
    <row r="28" spans="1:25" ht="12">
      <c r="A28" s="19"/>
      <c r="B28" s="19"/>
      <c r="C28" s="19"/>
      <c r="D28" s="19" t="s">
        <v>53</v>
      </c>
      <c r="E28" s="19" t="s">
        <v>1</v>
      </c>
      <c r="F28" s="19"/>
      <c r="G28" s="19"/>
      <c r="H28" s="19" t="s">
        <v>12</v>
      </c>
      <c r="I28" s="19" t="s">
        <v>107</v>
      </c>
      <c r="J28" s="20">
        <v>0</v>
      </c>
      <c r="K28" s="98">
        <v>0</v>
      </c>
      <c r="L28" s="21"/>
      <c r="M28" s="24"/>
      <c r="N28" s="22"/>
      <c r="O28" s="20"/>
      <c r="P28" s="22"/>
      <c r="Q28" s="20"/>
      <c r="R28" s="22"/>
      <c r="S28" s="111"/>
      <c r="T28" s="111"/>
      <c r="U28" s="116"/>
      <c r="V28" s="20"/>
      <c r="W28" s="20"/>
      <c r="X28" s="94">
        <f t="shared" si="7"/>
        <v>0</v>
      </c>
      <c r="Y28" s="70">
        <f t="shared" si="8"/>
        <v>0</v>
      </c>
    </row>
    <row r="29" spans="1:25" ht="12">
      <c r="A29" s="19"/>
      <c r="B29" s="19"/>
      <c r="C29" s="19"/>
      <c r="D29" s="19"/>
      <c r="E29" s="19"/>
      <c r="F29" s="19"/>
      <c r="G29" s="19">
        <v>7</v>
      </c>
      <c r="H29" s="19"/>
      <c r="I29" s="19"/>
      <c r="J29" s="29"/>
      <c r="K29" s="29"/>
      <c r="L29" s="22"/>
      <c r="M29" s="24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102"/>
      <c r="Y29" s="29"/>
    </row>
    <row r="30" spans="1:25" ht="22.5" customHeight="1">
      <c r="A30" s="19"/>
      <c r="B30" s="19"/>
      <c r="C30" s="19"/>
      <c r="D30" s="19"/>
      <c r="E30" s="19"/>
      <c r="F30" s="19"/>
      <c r="G30" s="17" t="s">
        <v>3</v>
      </c>
      <c r="H30" s="17" t="s">
        <v>67</v>
      </c>
      <c r="I30" s="17"/>
      <c r="J30" s="18">
        <f>SUBTOTAL(9,J31:J60)</f>
        <v>1799552</v>
      </c>
      <c r="K30" s="18">
        <f>SUBTOTAL(9,K31:K60)</f>
        <v>1756900</v>
      </c>
      <c r="L30" s="18">
        <f>SUBTOTAL(9,L31:L60)</f>
        <v>124427.16</v>
      </c>
      <c r="M30" s="18">
        <f aca="true" t="shared" si="9" ref="M30:Y30">SUBTOTAL(9,M31:M60)</f>
        <v>124464.28</v>
      </c>
      <c r="N30" s="18">
        <f t="shared" si="9"/>
        <v>127642.09000000001</v>
      </c>
      <c r="O30" s="18">
        <f t="shared" si="9"/>
        <v>120260.93</v>
      </c>
      <c r="P30" s="18">
        <f t="shared" si="9"/>
        <v>109589.18000000001</v>
      </c>
      <c r="Q30" s="18">
        <f>SUBTOTAL(9,Q31:Q60)</f>
        <v>123309.59</v>
      </c>
      <c r="R30" s="18">
        <f t="shared" si="9"/>
        <v>142046.11</v>
      </c>
      <c r="S30" s="18">
        <f t="shared" si="9"/>
        <v>32503.94</v>
      </c>
      <c r="T30" s="18">
        <f t="shared" si="9"/>
        <v>256537.09000000005</v>
      </c>
      <c r="U30" s="18">
        <f t="shared" si="9"/>
        <v>133224.85</v>
      </c>
      <c r="V30" s="18">
        <f t="shared" si="9"/>
        <v>147646.95</v>
      </c>
      <c r="W30" s="18">
        <f t="shared" si="9"/>
        <v>85113.31</v>
      </c>
      <c r="X30" s="18">
        <f t="shared" si="9"/>
        <v>1526765.4800000002</v>
      </c>
      <c r="Y30" s="18">
        <f t="shared" si="9"/>
        <v>230134.52</v>
      </c>
    </row>
    <row r="31" spans="1:25" ht="30" customHeight="1" hidden="1">
      <c r="A31" s="19"/>
      <c r="B31" s="19"/>
      <c r="C31" s="19"/>
      <c r="D31" s="19"/>
      <c r="E31" s="19"/>
      <c r="F31" s="19"/>
      <c r="G31" s="90"/>
      <c r="H31" s="90"/>
      <c r="I31" s="90"/>
      <c r="J31" s="91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8" ht="12">
      <c r="A32" s="19"/>
      <c r="B32" s="19"/>
      <c r="C32" s="19"/>
      <c r="D32" s="19" t="s">
        <v>53</v>
      </c>
      <c r="E32" s="19" t="s">
        <v>1</v>
      </c>
      <c r="F32" s="19"/>
      <c r="G32" s="19"/>
      <c r="H32" s="19" t="s">
        <v>13</v>
      </c>
      <c r="I32" s="19" t="s">
        <v>86</v>
      </c>
      <c r="J32" s="20">
        <v>8000</v>
      </c>
      <c r="K32" s="100">
        <v>8000</v>
      </c>
      <c r="L32" s="23"/>
      <c r="M32" s="23"/>
      <c r="N32" s="23">
        <v>200</v>
      </c>
      <c r="O32" s="23"/>
      <c r="P32" s="23"/>
      <c r="Q32" s="21"/>
      <c r="R32" s="21">
        <v>400</v>
      </c>
      <c r="S32" s="108"/>
      <c r="T32" s="108">
        <v>200</v>
      </c>
      <c r="U32" s="23">
        <v>461</v>
      </c>
      <c r="V32" s="117"/>
      <c r="W32" s="23"/>
      <c r="X32" s="94">
        <f>SUM(L32:W32)</f>
        <v>1261</v>
      </c>
      <c r="Y32" s="70">
        <f>+K32-X32</f>
        <v>6739</v>
      </c>
      <c r="Z32" s="95"/>
      <c r="AA32" s="81">
        <f>1357-X32</f>
        <v>96</v>
      </c>
      <c r="AB32" s="81"/>
    </row>
    <row r="33" spans="1:28" ht="12">
      <c r="A33" s="19"/>
      <c r="B33" s="19"/>
      <c r="C33" s="19"/>
      <c r="D33" s="19" t="s">
        <v>53</v>
      </c>
      <c r="E33" s="19" t="s">
        <v>1</v>
      </c>
      <c r="F33" s="19"/>
      <c r="G33" s="19"/>
      <c r="H33" s="19" t="s">
        <v>14</v>
      </c>
      <c r="I33" s="19" t="s">
        <v>106</v>
      </c>
      <c r="J33" s="20">
        <v>120000</v>
      </c>
      <c r="K33" s="100">
        <v>120000</v>
      </c>
      <c r="L33" s="23">
        <f>3526.5+2217.16</f>
        <v>5743.66</v>
      </c>
      <c r="M33" s="23">
        <f>3969.5+2788.96</f>
        <v>6758.46</v>
      </c>
      <c r="N33" s="23">
        <f>3083.5+3154.5</f>
        <v>6238</v>
      </c>
      <c r="O33" s="23">
        <f>3526.5+3437.31</f>
        <v>6963.8099999999995</v>
      </c>
      <c r="P33" s="23">
        <f>3236.5+3004.91</f>
        <v>6241.41</v>
      </c>
      <c r="Q33" s="21">
        <f>3236.5+4051.5</f>
        <v>7288</v>
      </c>
      <c r="R33" s="21">
        <f>2701.5+3166.4</f>
        <v>5867.9</v>
      </c>
      <c r="S33" s="108">
        <f>3236.5+4026.68</f>
        <v>7263.18</v>
      </c>
      <c r="T33" s="108">
        <f>2946.5+2980.81</f>
        <v>5927.3099999999995</v>
      </c>
      <c r="U33" s="23">
        <v>7912.45</v>
      </c>
      <c r="V33" s="117">
        <f>3236.5+4813.39</f>
        <v>8049.89</v>
      </c>
      <c r="W33" s="23">
        <v>7839.29</v>
      </c>
      <c r="X33" s="94">
        <f aca="true" t="shared" si="10" ref="X33:X59">SUM(L33:W33)</f>
        <v>82093.35999999999</v>
      </c>
      <c r="Y33" s="70">
        <f aca="true" t="shared" si="11" ref="Y33:Y60">+K33-X33</f>
        <v>37906.640000000014</v>
      </c>
      <c r="Z33" s="95"/>
      <c r="AA33" s="81"/>
      <c r="AB33" s="81"/>
    </row>
    <row r="34" spans="1:28" ht="12">
      <c r="A34" s="19"/>
      <c r="B34" s="19"/>
      <c r="C34" s="19"/>
      <c r="D34" s="19" t="s">
        <v>53</v>
      </c>
      <c r="E34" s="19" t="s">
        <v>1</v>
      </c>
      <c r="F34" s="19"/>
      <c r="G34" s="19"/>
      <c r="H34" s="19" t="s">
        <v>15</v>
      </c>
      <c r="I34" s="19" t="s">
        <v>99</v>
      </c>
      <c r="J34" s="20">
        <v>5600</v>
      </c>
      <c r="K34" s="100">
        <v>4000</v>
      </c>
      <c r="L34" s="23"/>
      <c r="M34" s="23"/>
      <c r="N34" s="23"/>
      <c r="O34" s="23"/>
      <c r="P34" s="23"/>
      <c r="Q34" s="21"/>
      <c r="R34" s="21"/>
      <c r="S34" s="108"/>
      <c r="T34" s="108">
        <v>200</v>
      </c>
      <c r="U34" s="23"/>
      <c r="V34" s="117"/>
      <c r="W34" s="23"/>
      <c r="X34" s="94">
        <f t="shared" si="10"/>
        <v>200</v>
      </c>
      <c r="Y34" s="70">
        <f t="shared" si="11"/>
        <v>3800</v>
      </c>
      <c r="Z34" s="95"/>
      <c r="AA34" s="81"/>
      <c r="AB34" s="81"/>
    </row>
    <row r="35" spans="1:28" ht="12">
      <c r="A35" s="19"/>
      <c r="B35" s="19"/>
      <c r="C35" s="19"/>
      <c r="D35" s="19" t="s">
        <v>53</v>
      </c>
      <c r="E35" s="19" t="s">
        <v>1</v>
      </c>
      <c r="F35" s="19"/>
      <c r="G35" s="19"/>
      <c r="H35" s="19" t="s">
        <v>16</v>
      </c>
      <c r="I35" s="19" t="s">
        <v>101</v>
      </c>
      <c r="J35" s="20">
        <v>0</v>
      </c>
      <c r="K35" s="23">
        <v>1000</v>
      </c>
      <c r="L35" s="23"/>
      <c r="M35" s="23"/>
      <c r="N35" s="23"/>
      <c r="O35" s="23"/>
      <c r="P35" s="23"/>
      <c r="Q35" s="21"/>
      <c r="R35" s="21">
        <v>666</v>
      </c>
      <c r="S35" s="108"/>
      <c r="T35" s="108"/>
      <c r="U35" s="23"/>
      <c r="V35" s="117">
        <v>1004</v>
      </c>
      <c r="W35" s="23"/>
      <c r="X35" s="94">
        <f t="shared" si="10"/>
        <v>1670</v>
      </c>
      <c r="Y35" s="70">
        <f t="shared" si="11"/>
        <v>-670</v>
      </c>
      <c r="Z35" s="95"/>
      <c r="AA35" s="81">
        <f>+K36+K38+K39+K40</f>
        <v>241000</v>
      </c>
      <c r="AB35" s="81"/>
    </row>
    <row r="36" spans="1:28" s="126" customFormat="1" ht="12">
      <c r="A36" s="121"/>
      <c r="B36" s="121"/>
      <c r="C36" s="121"/>
      <c r="D36" s="121" t="s">
        <v>53</v>
      </c>
      <c r="E36" s="121" t="s">
        <v>1</v>
      </c>
      <c r="F36" s="121"/>
      <c r="G36" s="121"/>
      <c r="H36" s="121" t="s">
        <v>17</v>
      </c>
      <c r="I36" s="121" t="s">
        <v>95</v>
      </c>
      <c r="J36" s="120">
        <v>65000</v>
      </c>
      <c r="K36" s="122">
        <v>65000</v>
      </c>
      <c r="L36" s="119">
        <v>140</v>
      </c>
      <c r="M36" s="119">
        <v>4244.98</v>
      </c>
      <c r="N36" s="119">
        <v>12002.22</v>
      </c>
      <c r="O36" s="119">
        <v>231.26</v>
      </c>
      <c r="P36" s="119">
        <v>6310.57</v>
      </c>
      <c r="Q36" s="119">
        <v>3954.93</v>
      </c>
      <c r="R36" s="119">
        <v>1098</v>
      </c>
      <c r="S36" s="119">
        <v>5962.35</v>
      </c>
      <c r="T36" s="119">
        <v>1352.28</v>
      </c>
      <c r="U36" s="119">
        <v>4207.79</v>
      </c>
      <c r="V36" s="123">
        <v>18791.22</v>
      </c>
      <c r="W36" s="119">
        <v>8843.1</v>
      </c>
      <c r="X36" s="120">
        <f>SUM(L36:W36)</f>
        <v>67138.7</v>
      </c>
      <c r="Y36" s="120">
        <f t="shared" si="11"/>
        <v>-2138.699999999997</v>
      </c>
      <c r="Z36" s="124"/>
      <c r="AA36" s="125">
        <f>+X36+X38+X39+X40</f>
        <v>252252.31999999995</v>
      </c>
      <c r="AB36" s="125"/>
    </row>
    <row r="37" spans="1:28" s="126" customFormat="1" ht="12">
      <c r="A37" s="121"/>
      <c r="B37" s="121"/>
      <c r="C37" s="121"/>
      <c r="D37" s="121" t="s">
        <v>53</v>
      </c>
      <c r="E37" s="121" t="s">
        <v>1</v>
      </c>
      <c r="F37" s="121"/>
      <c r="G37" s="121"/>
      <c r="H37" s="121" t="s">
        <v>18</v>
      </c>
      <c r="I37" s="121" t="s">
        <v>70</v>
      </c>
      <c r="J37" s="120">
        <v>5887.5</v>
      </c>
      <c r="K37" s="122">
        <v>0</v>
      </c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23"/>
      <c r="W37" s="119"/>
      <c r="X37" s="120">
        <f t="shared" si="10"/>
        <v>0</v>
      </c>
      <c r="Y37" s="120">
        <f t="shared" si="11"/>
        <v>0</v>
      </c>
      <c r="Z37" s="124"/>
      <c r="AA37" s="125"/>
      <c r="AB37" s="125"/>
    </row>
    <row r="38" spans="1:28" s="126" customFormat="1" ht="12">
      <c r="A38" s="121"/>
      <c r="B38" s="121"/>
      <c r="C38" s="121"/>
      <c r="D38" s="121" t="s">
        <v>53</v>
      </c>
      <c r="E38" s="121" t="s">
        <v>1</v>
      </c>
      <c r="F38" s="121"/>
      <c r="G38" s="121"/>
      <c r="H38" s="121" t="s">
        <v>19</v>
      </c>
      <c r="I38" s="121" t="s">
        <v>51</v>
      </c>
      <c r="J38" s="120">
        <v>171062.25</v>
      </c>
      <c r="K38" s="122">
        <f>178000-7000-20000</f>
        <v>151000</v>
      </c>
      <c r="L38" s="119">
        <v>24264.66</v>
      </c>
      <c r="M38" s="119">
        <v>12724.18</v>
      </c>
      <c r="N38" s="119">
        <v>22998.02</v>
      </c>
      <c r="O38" s="119">
        <v>16054.36</v>
      </c>
      <c r="P38" s="119">
        <v>10539.57</v>
      </c>
      <c r="Q38" s="119">
        <v>10551.4</v>
      </c>
      <c r="R38" s="119">
        <v>9792.65</v>
      </c>
      <c r="S38" s="119">
        <v>404.58</v>
      </c>
      <c r="T38" s="119">
        <v>7834.84</v>
      </c>
      <c r="U38" s="119">
        <v>11324.2</v>
      </c>
      <c r="V38" s="123">
        <v>17678.49</v>
      </c>
      <c r="W38" s="119">
        <f>3102.72+29348.86+400.23</f>
        <v>32851.810000000005</v>
      </c>
      <c r="X38" s="120">
        <f t="shared" si="10"/>
        <v>177018.75999999998</v>
      </c>
      <c r="Y38" s="120">
        <f t="shared" si="11"/>
        <v>-26018.75999999998</v>
      </c>
      <c r="Z38" s="124"/>
      <c r="AA38" s="125">
        <f>+AA35-AA36</f>
        <v>-11252.319999999949</v>
      </c>
      <c r="AB38" s="125"/>
    </row>
    <row r="39" spans="1:28" s="106" customFormat="1" ht="12">
      <c r="A39" s="104"/>
      <c r="B39" s="104"/>
      <c r="C39" s="104"/>
      <c r="D39" s="104" t="s">
        <v>53</v>
      </c>
      <c r="E39" s="104" t="s">
        <v>1</v>
      </c>
      <c r="F39" s="104"/>
      <c r="G39" s="104"/>
      <c r="H39" s="104" t="s">
        <v>20</v>
      </c>
      <c r="I39" s="104" t="s">
        <v>108</v>
      </c>
      <c r="J39" s="101">
        <v>18000</v>
      </c>
      <c r="K39" s="105">
        <v>18000</v>
      </c>
      <c r="L39" s="71">
        <v>13.9</v>
      </c>
      <c r="M39" s="71">
        <v>233.9</v>
      </c>
      <c r="N39" s="71">
        <v>206</v>
      </c>
      <c r="O39" s="71"/>
      <c r="P39" s="71"/>
      <c r="Q39" s="71">
        <v>109.34</v>
      </c>
      <c r="R39" s="71"/>
      <c r="S39" s="71">
        <v>841.57</v>
      </c>
      <c r="T39" s="71">
        <v>421.83</v>
      </c>
      <c r="U39" s="71"/>
      <c r="V39" s="127">
        <v>400</v>
      </c>
      <c r="W39" s="71">
        <f>1944.89+735.15</f>
        <v>2680.04</v>
      </c>
      <c r="X39" s="101">
        <f t="shared" si="10"/>
        <v>4906.58</v>
      </c>
      <c r="Y39" s="101">
        <f t="shared" si="11"/>
        <v>13093.42</v>
      </c>
      <c r="Z39" s="128"/>
      <c r="AA39" s="118"/>
      <c r="AB39" s="118"/>
    </row>
    <row r="40" spans="1:28" s="126" customFormat="1" ht="12">
      <c r="A40" s="121"/>
      <c r="B40" s="121"/>
      <c r="C40" s="121"/>
      <c r="D40" s="121" t="s">
        <v>53</v>
      </c>
      <c r="E40" s="121" t="s">
        <v>1</v>
      </c>
      <c r="F40" s="121"/>
      <c r="G40" s="121"/>
      <c r="H40" s="121" t="s">
        <v>21</v>
      </c>
      <c r="I40" s="121" t="s">
        <v>78</v>
      </c>
      <c r="J40" s="120">
        <v>9000</v>
      </c>
      <c r="K40" s="122">
        <f>8000-1000</f>
        <v>7000</v>
      </c>
      <c r="L40" s="119"/>
      <c r="M40" s="119"/>
      <c r="N40" s="119">
        <v>687.8</v>
      </c>
      <c r="O40" s="119"/>
      <c r="P40" s="119">
        <v>799</v>
      </c>
      <c r="Q40" s="119"/>
      <c r="R40" s="119">
        <v>382.41</v>
      </c>
      <c r="S40" s="119"/>
      <c r="T40" s="119"/>
      <c r="U40" s="119"/>
      <c r="V40" s="123"/>
      <c r="W40" s="119">
        <v>1319.07</v>
      </c>
      <c r="X40" s="120">
        <f t="shared" si="10"/>
        <v>3188.2799999999997</v>
      </c>
      <c r="Y40" s="120">
        <f t="shared" si="11"/>
        <v>3811.7200000000003</v>
      </c>
      <c r="Z40" s="124"/>
      <c r="AA40" s="125"/>
      <c r="AB40" s="125"/>
    </row>
    <row r="41" spans="1:28" s="126" customFormat="1" ht="12">
      <c r="A41" s="121"/>
      <c r="B41" s="121"/>
      <c r="C41" s="121"/>
      <c r="D41" s="121" t="s">
        <v>53</v>
      </c>
      <c r="E41" s="121" t="s">
        <v>1</v>
      </c>
      <c r="F41" s="121"/>
      <c r="G41" s="121"/>
      <c r="H41" s="121" t="s">
        <v>22</v>
      </c>
      <c r="I41" s="121" t="s">
        <v>90</v>
      </c>
      <c r="J41" s="120">
        <v>0</v>
      </c>
      <c r="K41" s="119">
        <v>0</v>
      </c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23"/>
      <c r="W41" s="119"/>
      <c r="X41" s="120">
        <f t="shared" si="10"/>
        <v>0</v>
      </c>
      <c r="Y41" s="120">
        <f t="shared" si="11"/>
        <v>0</v>
      </c>
      <c r="Z41" s="124"/>
      <c r="AA41" s="125"/>
      <c r="AB41" s="125"/>
    </row>
    <row r="42" spans="1:28" s="126" customFormat="1" ht="12">
      <c r="A42" s="121"/>
      <c r="B42" s="121"/>
      <c r="C42" s="121"/>
      <c r="D42" s="121" t="s">
        <v>53</v>
      </c>
      <c r="E42" s="121" t="s">
        <v>1</v>
      </c>
      <c r="F42" s="121"/>
      <c r="G42" s="121"/>
      <c r="H42" s="121" t="s">
        <v>23</v>
      </c>
      <c r="I42" s="121" t="s">
        <v>103</v>
      </c>
      <c r="J42" s="120">
        <v>5000</v>
      </c>
      <c r="K42" s="122">
        <v>0</v>
      </c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3"/>
      <c r="W42" s="119"/>
      <c r="X42" s="120">
        <f t="shared" si="10"/>
        <v>0</v>
      </c>
      <c r="Y42" s="120">
        <f t="shared" si="11"/>
        <v>0</v>
      </c>
      <c r="Z42" s="124"/>
      <c r="AA42" s="125"/>
      <c r="AB42" s="125"/>
    </row>
    <row r="43" spans="1:28" ht="12">
      <c r="A43" s="19"/>
      <c r="B43" s="19"/>
      <c r="C43" s="19"/>
      <c r="D43" s="19" t="s">
        <v>53</v>
      </c>
      <c r="E43" s="19" t="s">
        <v>1</v>
      </c>
      <c r="F43" s="19"/>
      <c r="G43" s="19"/>
      <c r="H43" s="19" t="s">
        <v>24</v>
      </c>
      <c r="I43" s="19" t="s">
        <v>100</v>
      </c>
      <c r="J43" s="20">
        <v>62000</v>
      </c>
      <c r="K43" s="100">
        <v>62000</v>
      </c>
      <c r="L43" s="23">
        <v>3367.47</v>
      </c>
      <c r="M43" s="23">
        <v>3442.59</v>
      </c>
      <c r="N43" s="23">
        <v>3356.52</v>
      </c>
      <c r="O43" s="23">
        <v>3021.08</v>
      </c>
      <c r="P43" s="23">
        <v>2742.06</v>
      </c>
      <c r="Q43" s="21">
        <v>3012.94</v>
      </c>
      <c r="R43" s="21">
        <v>2950.99</v>
      </c>
      <c r="S43" s="108">
        <v>2854.62</v>
      </c>
      <c r="T43" s="108">
        <v>3341.16</v>
      </c>
      <c r="U43" s="23">
        <v>3228.12</v>
      </c>
      <c r="V43" s="117">
        <v>3248.97</v>
      </c>
      <c r="W43" s="23"/>
      <c r="X43" s="94">
        <f t="shared" si="10"/>
        <v>34566.52</v>
      </c>
      <c r="Y43" s="70">
        <f t="shared" si="11"/>
        <v>27433.480000000003</v>
      </c>
      <c r="Z43" s="95"/>
      <c r="AA43" s="81"/>
      <c r="AB43" s="81"/>
    </row>
    <row r="44" spans="1:28" s="136" customFormat="1" ht="12">
      <c r="A44" s="129"/>
      <c r="B44" s="129"/>
      <c r="C44" s="129"/>
      <c r="D44" s="129" t="s">
        <v>53</v>
      </c>
      <c r="E44" s="129" t="s">
        <v>1</v>
      </c>
      <c r="F44" s="129"/>
      <c r="G44" s="129"/>
      <c r="H44" s="129" t="s">
        <v>25</v>
      </c>
      <c r="I44" s="129" t="s">
        <v>104</v>
      </c>
      <c r="J44" s="130">
        <v>85000</v>
      </c>
      <c r="K44" s="131">
        <v>55000</v>
      </c>
      <c r="L44" s="132">
        <v>1444.3</v>
      </c>
      <c r="M44" s="132">
        <v>989.94</v>
      </c>
      <c r="N44" s="132">
        <v>1100</v>
      </c>
      <c r="O44" s="132">
        <v>562.5</v>
      </c>
      <c r="P44" s="132">
        <v>843.75</v>
      </c>
      <c r="Q44" s="132">
        <v>4713.93</v>
      </c>
      <c r="R44" s="132"/>
      <c r="S44" s="132"/>
      <c r="T44" s="132">
        <v>2153.16</v>
      </c>
      <c r="U44" s="132">
        <v>5412.5</v>
      </c>
      <c r="V44" s="133">
        <v>1444.3</v>
      </c>
      <c r="W44" s="132">
        <v>14720</v>
      </c>
      <c r="X44" s="130">
        <f t="shared" si="10"/>
        <v>33384.380000000005</v>
      </c>
      <c r="Y44" s="130">
        <f t="shared" si="11"/>
        <v>21615.619999999995</v>
      </c>
      <c r="Z44" s="134"/>
      <c r="AA44" s="135"/>
      <c r="AB44" s="135"/>
    </row>
    <row r="45" spans="1:28" s="136" customFormat="1" ht="12">
      <c r="A45" s="129"/>
      <c r="B45" s="129"/>
      <c r="C45" s="129"/>
      <c r="D45" s="129" t="s">
        <v>53</v>
      </c>
      <c r="E45" s="129" t="s">
        <v>1</v>
      </c>
      <c r="F45" s="129"/>
      <c r="G45" s="129"/>
      <c r="H45" s="129" t="s">
        <v>26</v>
      </c>
      <c r="I45" s="129" t="s">
        <v>98</v>
      </c>
      <c r="J45" s="130">
        <v>9500</v>
      </c>
      <c r="K45" s="131">
        <v>9500</v>
      </c>
      <c r="L45" s="132"/>
      <c r="M45" s="132"/>
      <c r="N45" s="132"/>
      <c r="O45" s="132"/>
      <c r="P45" s="132"/>
      <c r="Q45" s="132"/>
      <c r="R45" s="132">
        <v>1875</v>
      </c>
      <c r="S45" s="132"/>
      <c r="T45" s="132">
        <v>1875</v>
      </c>
      <c r="U45" s="132"/>
      <c r="V45" s="133">
        <v>1875</v>
      </c>
      <c r="W45" s="132"/>
      <c r="X45" s="130">
        <f t="shared" si="10"/>
        <v>5625</v>
      </c>
      <c r="Y45" s="130">
        <f t="shared" si="11"/>
        <v>3875</v>
      </c>
      <c r="Z45" s="134"/>
      <c r="AA45" s="135"/>
      <c r="AB45" s="135"/>
    </row>
    <row r="46" spans="1:28" ht="12">
      <c r="A46" s="19"/>
      <c r="B46" s="19"/>
      <c r="C46" s="19"/>
      <c r="D46" s="19" t="s">
        <v>53</v>
      </c>
      <c r="E46" s="19" t="s">
        <v>1</v>
      </c>
      <c r="F46" s="19"/>
      <c r="G46" s="19"/>
      <c r="H46" s="19" t="s">
        <v>27</v>
      </c>
      <c r="I46" s="19" t="s">
        <v>62</v>
      </c>
      <c r="J46" s="20">
        <v>66000</v>
      </c>
      <c r="K46" s="100">
        <v>61500</v>
      </c>
      <c r="L46" s="23">
        <v>3737.23</v>
      </c>
      <c r="M46" s="23">
        <v>8097.07</v>
      </c>
      <c r="N46" s="23">
        <v>3454.73</v>
      </c>
      <c r="O46" s="23">
        <v>3373.86</v>
      </c>
      <c r="P46" s="23">
        <v>3451.88</v>
      </c>
      <c r="Q46" s="21">
        <v>2213</v>
      </c>
      <c r="R46" s="21">
        <v>2293.87</v>
      </c>
      <c r="S46" s="108">
        <v>1384.46</v>
      </c>
      <c r="T46" s="108">
        <f>1687.89+18935.78</f>
        <v>20623.67</v>
      </c>
      <c r="U46" s="23">
        <v>8822.41</v>
      </c>
      <c r="V46" s="117">
        <v>3223.3</v>
      </c>
      <c r="W46" s="23"/>
      <c r="X46" s="94">
        <f t="shared" si="10"/>
        <v>60675.479999999996</v>
      </c>
      <c r="Y46" s="70">
        <f t="shared" si="11"/>
        <v>824.5200000000041</v>
      </c>
      <c r="Z46" s="95"/>
      <c r="AA46" s="81"/>
      <c r="AB46" s="81"/>
    </row>
    <row r="47" spans="1:28" s="96" customFormat="1" ht="12">
      <c r="A47" s="27"/>
      <c r="B47" s="27"/>
      <c r="C47" s="27"/>
      <c r="D47" s="27" t="s">
        <v>53</v>
      </c>
      <c r="E47" s="27" t="s">
        <v>1</v>
      </c>
      <c r="F47" s="27"/>
      <c r="G47" s="27"/>
      <c r="H47" s="27" t="s">
        <v>28</v>
      </c>
      <c r="I47" s="27" t="s">
        <v>75</v>
      </c>
      <c r="J47" s="94">
        <v>17000</v>
      </c>
      <c r="K47" s="24">
        <v>25000</v>
      </c>
      <c r="L47" s="21">
        <v>1250</v>
      </c>
      <c r="M47" s="21">
        <v>1250</v>
      </c>
      <c r="N47" s="21">
        <v>1250</v>
      </c>
      <c r="O47" s="21">
        <v>9860</v>
      </c>
      <c r="P47" s="23"/>
      <c r="Q47" s="21"/>
      <c r="R47" s="21">
        <v>3250.24</v>
      </c>
      <c r="S47" s="108">
        <v>1439.37</v>
      </c>
      <c r="T47" s="108">
        <v>1439.37</v>
      </c>
      <c r="U47" s="21">
        <v>1439.37</v>
      </c>
      <c r="V47" s="117">
        <v>1439.97</v>
      </c>
      <c r="W47" s="21"/>
      <c r="X47" s="94">
        <f t="shared" si="10"/>
        <v>22618.319999999996</v>
      </c>
      <c r="Y47" s="70">
        <f t="shared" si="11"/>
        <v>2381.680000000004</v>
      </c>
      <c r="Z47" s="113"/>
      <c r="AA47" s="81"/>
      <c r="AB47" s="81"/>
    </row>
    <row r="48" spans="1:28" ht="12">
      <c r="A48" s="19"/>
      <c r="B48" s="19"/>
      <c r="C48" s="19"/>
      <c r="D48" s="19" t="s">
        <v>53</v>
      </c>
      <c r="E48" s="19" t="s">
        <v>1</v>
      </c>
      <c r="F48" s="19"/>
      <c r="G48" s="19"/>
      <c r="H48" s="19" t="s">
        <v>29</v>
      </c>
      <c r="I48" s="19" t="s">
        <v>84</v>
      </c>
      <c r="J48" s="20">
        <v>450</v>
      </c>
      <c r="K48" s="23">
        <v>0</v>
      </c>
      <c r="L48" s="23"/>
      <c r="M48" s="23"/>
      <c r="N48" s="23"/>
      <c r="O48" s="23"/>
      <c r="P48" s="23"/>
      <c r="Q48" s="21"/>
      <c r="R48" s="21"/>
      <c r="S48" s="108"/>
      <c r="T48" s="108"/>
      <c r="U48" s="23"/>
      <c r="V48" s="117"/>
      <c r="W48" s="23">
        <f>2000+1360</f>
        <v>3360</v>
      </c>
      <c r="X48" s="94">
        <f t="shared" si="10"/>
        <v>3360</v>
      </c>
      <c r="Y48" s="70">
        <f t="shared" si="11"/>
        <v>-3360</v>
      </c>
      <c r="Z48" s="95"/>
      <c r="AA48" s="81"/>
      <c r="AB48" s="81"/>
    </row>
    <row r="49" spans="1:28" ht="12">
      <c r="A49" s="19"/>
      <c r="B49" s="19"/>
      <c r="C49" s="19"/>
      <c r="D49" s="19" t="s">
        <v>53</v>
      </c>
      <c r="E49" s="19" t="s">
        <v>1</v>
      </c>
      <c r="F49" s="19"/>
      <c r="G49" s="19"/>
      <c r="H49" s="19" t="s">
        <v>30</v>
      </c>
      <c r="I49" s="19" t="s">
        <v>81</v>
      </c>
      <c r="J49" s="20">
        <v>120000</v>
      </c>
      <c r="K49" s="100">
        <v>140000</v>
      </c>
      <c r="L49" s="23">
        <v>1250</v>
      </c>
      <c r="M49" s="23">
        <v>1250</v>
      </c>
      <c r="N49" s="23">
        <v>1250</v>
      </c>
      <c r="O49" s="23">
        <v>1250</v>
      </c>
      <c r="P49" s="23">
        <v>1250</v>
      </c>
      <c r="Q49" s="21">
        <v>6828.67</v>
      </c>
      <c r="R49" s="21">
        <v>31151.35</v>
      </c>
      <c r="S49" s="108">
        <v>1250</v>
      </c>
      <c r="T49" s="108">
        <f>3895.62+49437.5</f>
        <v>53333.12</v>
      </c>
      <c r="U49" s="23">
        <v>10062.5</v>
      </c>
      <c r="V49" s="117">
        <v>11531.25</v>
      </c>
      <c r="W49" s="23">
        <f>12250+1250</f>
        <v>13500</v>
      </c>
      <c r="X49" s="94">
        <f t="shared" si="10"/>
        <v>133906.89</v>
      </c>
      <c r="Y49" s="70">
        <f t="shared" si="11"/>
        <v>6093.109999999986</v>
      </c>
      <c r="Z49" s="95"/>
      <c r="AA49" s="81"/>
      <c r="AB49" s="81"/>
    </row>
    <row r="50" spans="1:28" ht="13.5" customHeight="1">
      <c r="A50" s="19"/>
      <c r="B50" s="19"/>
      <c r="C50" s="19"/>
      <c r="D50" s="19" t="s">
        <v>53</v>
      </c>
      <c r="E50" s="19" t="s">
        <v>1</v>
      </c>
      <c r="F50" s="19"/>
      <c r="G50" s="19"/>
      <c r="H50" s="19" t="s">
        <v>31</v>
      </c>
      <c r="I50" s="19" t="s">
        <v>83</v>
      </c>
      <c r="J50" s="20">
        <v>71000</v>
      </c>
      <c r="K50" s="100">
        <f>50000+20000+1000</f>
        <v>71000</v>
      </c>
      <c r="L50" s="23">
        <v>4966.25</v>
      </c>
      <c r="M50" s="23">
        <v>5087.5</v>
      </c>
      <c r="N50" s="23">
        <v>5091.25</v>
      </c>
      <c r="O50" s="23">
        <v>5091.25</v>
      </c>
      <c r="P50" s="23">
        <v>5087.5</v>
      </c>
      <c r="Q50" s="21">
        <v>5087.5</v>
      </c>
      <c r="R50" s="21">
        <v>8093.38</v>
      </c>
      <c r="S50" s="108">
        <v>5700</v>
      </c>
      <c r="T50" s="108">
        <v>5111.88</v>
      </c>
      <c r="U50" s="23">
        <v>5087.5</v>
      </c>
      <c r="V50" s="117">
        <v>4516.25</v>
      </c>
      <c r="W50" s="23"/>
      <c r="X50" s="94">
        <f t="shared" si="10"/>
        <v>58920.259999999995</v>
      </c>
      <c r="Y50" s="70">
        <f t="shared" si="11"/>
        <v>12079.740000000005</v>
      </c>
      <c r="Z50" s="95"/>
      <c r="AA50" s="81"/>
      <c r="AB50" s="81"/>
    </row>
    <row r="51" spans="1:28" ht="12">
      <c r="A51" s="19"/>
      <c r="B51" s="19"/>
      <c r="C51" s="19"/>
      <c r="D51" s="19" t="s">
        <v>53</v>
      </c>
      <c r="E51" s="19" t="s">
        <v>1</v>
      </c>
      <c r="F51" s="19"/>
      <c r="G51" s="19"/>
      <c r="H51" s="19" t="s">
        <v>32</v>
      </c>
      <c r="I51" s="19" t="s">
        <v>56</v>
      </c>
      <c r="J51" s="20">
        <v>900000</v>
      </c>
      <c r="K51" s="100">
        <v>900000</v>
      </c>
      <c r="L51" s="23">
        <v>73002.81</v>
      </c>
      <c r="M51" s="23">
        <v>73477.81</v>
      </c>
      <c r="N51" s="23">
        <v>66288.81</v>
      </c>
      <c r="O51" s="23">
        <v>73002.81</v>
      </c>
      <c r="P51" s="23">
        <v>70662.81</v>
      </c>
      <c r="Q51" s="21">
        <v>76902.81</v>
      </c>
      <c r="R51" s="21">
        <v>70662.81</v>
      </c>
      <c r="S51" s="108">
        <v>689.81</v>
      </c>
      <c r="T51" s="108">
        <v>146730.17</v>
      </c>
      <c r="U51" s="23">
        <v>70951.81</v>
      </c>
      <c r="V51" s="117">
        <v>69682.81</v>
      </c>
      <c r="W51" s="23"/>
      <c r="X51" s="94">
        <f t="shared" si="10"/>
        <v>792055.27</v>
      </c>
      <c r="Y51" s="70">
        <f t="shared" si="11"/>
        <v>107944.72999999998</v>
      </c>
      <c r="Z51" s="95"/>
      <c r="AA51" s="81"/>
      <c r="AB51" s="81"/>
    </row>
    <row r="52" spans="1:28" ht="12">
      <c r="A52" s="19"/>
      <c r="B52" s="19"/>
      <c r="C52" s="19"/>
      <c r="D52" s="19" t="s">
        <v>53</v>
      </c>
      <c r="E52" s="19" t="s">
        <v>1</v>
      </c>
      <c r="F52" s="19"/>
      <c r="G52" s="19"/>
      <c r="H52" s="19" t="s">
        <v>33</v>
      </c>
      <c r="I52" s="19" t="s">
        <v>105</v>
      </c>
      <c r="J52" s="20">
        <v>0</v>
      </c>
      <c r="K52" s="23">
        <v>0</v>
      </c>
      <c r="L52" s="23"/>
      <c r="M52" s="23"/>
      <c r="N52" s="23"/>
      <c r="O52" s="23"/>
      <c r="P52" s="23"/>
      <c r="Q52" s="21"/>
      <c r="R52" s="21"/>
      <c r="S52" s="108"/>
      <c r="T52" s="108"/>
      <c r="U52" s="23"/>
      <c r="V52" s="117"/>
      <c r="W52" s="23"/>
      <c r="X52" s="94">
        <f t="shared" si="10"/>
        <v>0</v>
      </c>
      <c r="Y52" s="70">
        <f t="shared" si="11"/>
        <v>0</v>
      </c>
      <c r="Z52" s="95"/>
      <c r="AA52" s="81"/>
      <c r="AB52" s="81"/>
    </row>
    <row r="53" spans="1:28" s="106" customFormat="1" ht="12">
      <c r="A53" s="104"/>
      <c r="B53" s="104"/>
      <c r="C53" s="104"/>
      <c r="D53" s="104" t="s">
        <v>53</v>
      </c>
      <c r="E53" s="104" t="s">
        <v>1</v>
      </c>
      <c r="F53" s="104"/>
      <c r="G53" s="104"/>
      <c r="H53" s="104" t="s">
        <v>34</v>
      </c>
      <c r="I53" s="104" t="s">
        <v>110</v>
      </c>
      <c r="J53" s="101">
        <v>0</v>
      </c>
      <c r="K53" s="71">
        <v>0</v>
      </c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127"/>
      <c r="W53" s="71"/>
      <c r="X53" s="101">
        <f t="shared" si="10"/>
        <v>0</v>
      </c>
      <c r="Y53" s="101">
        <f t="shared" si="11"/>
        <v>0</v>
      </c>
      <c r="Z53" s="128">
        <f>+Y53+Y54+Y55+Y56+Y59</f>
        <v>16458.17</v>
      </c>
      <c r="AA53" s="118"/>
      <c r="AB53" s="118"/>
    </row>
    <row r="54" spans="1:28" s="106" customFormat="1" ht="12">
      <c r="A54" s="104"/>
      <c r="B54" s="104"/>
      <c r="C54" s="104"/>
      <c r="D54" s="104" t="s">
        <v>53</v>
      </c>
      <c r="E54" s="104" t="s">
        <v>1</v>
      </c>
      <c r="F54" s="104"/>
      <c r="G54" s="104"/>
      <c r="H54" s="104" t="s">
        <v>35</v>
      </c>
      <c r="I54" s="104" t="s">
        <v>64</v>
      </c>
      <c r="J54" s="101">
        <v>42000</v>
      </c>
      <c r="K54" s="105">
        <f>29948+5000+52+7000</f>
        <v>42000</v>
      </c>
      <c r="L54" s="71"/>
      <c r="M54" s="71">
        <v>6095.35</v>
      </c>
      <c r="N54" s="71">
        <v>2441.24</v>
      </c>
      <c r="O54" s="71"/>
      <c r="P54" s="71"/>
      <c r="Q54" s="71">
        <v>1227.07</v>
      </c>
      <c r="R54" s="71">
        <v>2641.75</v>
      </c>
      <c r="S54" s="71">
        <v>3864</v>
      </c>
      <c r="T54" s="71">
        <v>4908.42</v>
      </c>
      <c r="U54" s="71">
        <v>1900</v>
      </c>
      <c r="V54" s="127">
        <v>3864</v>
      </c>
      <c r="W54" s="71"/>
      <c r="X54" s="101">
        <f t="shared" si="10"/>
        <v>26941.83</v>
      </c>
      <c r="Y54" s="101">
        <f t="shared" si="11"/>
        <v>15058.169999999998</v>
      </c>
      <c r="Z54" s="128">
        <f>+Z53-1734.85</f>
        <v>14723.319999999998</v>
      </c>
      <c r="AA54" s="118"/>
      <c r="AB54" s="118"/>
    </row>
    <row r="55" spans="1:28" s="106" customFormat="1" ht="12">
      <c r="A55" s="104"/>
      <c r="B55" s="104"/>
      <c r="C55" s="104"/>
      <c r="D55" s="104" t="s">
        <v>53</v>
      </c>
      <c r="E55" s="104" t="s">
        <v>1</v>
      </c>
      <c r="F55" s="104"/>
      <c r="G55" s="104"/>
      <c r="H55" s="104" t="s">
        <v>36</v>
      </c>
      <c r="I55" s="104" t="s">
        <v>57</v>
      </c>
      <c r="J55" s="101">
        <v>52.25</v>
      </c>
      <c r="K55" s="105">
        <v>0</v>
      </c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127"/>
      <c r="W55" s="71"/>
      <c r="X55" s="101">
        <f t="shared" si="10"/>
        <v>0</v>
      </c>
      <c r="Y55" s="101">
        <f t="shared" si="11"/>
        <v>0</v>
      </c>
      <c r="Z55" s="128"/>
      <c r="AA55" s="118"/>
      <c r="AB55" s="118"/>
    </row>
    <row r="56" spans="1:28" s="106" customFormat="1" ht="12">
      <c r="A56" s="104"/>
      <c r="B56" s="104"/>
      <c r="C56" s="104"/>
      <c r="D56" s="104" t="s">
        <v>53</v>
      </c>
      <c r="E56" s="104" t="s">
        <v>1</v>
      </c>
      <c r="F56" s="104"/>
      <c r="G56" s="104"/>
      <c r="H56" s="104" t="s">
        <v>37</v>
      </c>
      <c r="I56" s="104" t="s">
        <v>85</v>
      </c>
      <c r="J56" s="101">
        <v>5000</v>
      </c>
      <c r="K56" s="105">
        <v>5000</v>
      </c>
      <c r="L56" s="71">
        <v>3500</v>
      </c>
      <c r="M56" s="71"/>
      <c r="N56" s="71"/>
      <c r="O56" s="71"/>
      <c r="P56" s="71">
        <v>200</v>
      </c>
      <c r="Q56" s="71">
        <v>100</v>
      </c>
      <c r="R56" s="71"/>
      <c r="S56" s="71"/>
      <c r="T56" s="71">
        <v>200</v>
      </c>
      <c r="U56" s="71"/>
      <c r="V56" s="127"/>
      <c r="W56" s="71"/>
      <c r="X56" s="101">
        <f t="shared" si="10"/>
        <v>4000</v>
      </c>
      <c r="Y56" s="101">
        <f t="shared" si="11"/>
        <v>1000</v>
      </c>
      <c r="Z56" s="128"/>
      <c r="AA56" s="118"/>
      <c r="AB56" s="118"/>
    </row>
    <row r="57" spans="1:28" s="106" customFormat="1" ht="12">
      <c r="A57" s="104"/>
      <c r="B57" s="104"/>
      <c r="C57" s="104"/>
      <c r="D57" s="104" t="s">
        <v>53</v>
      </c>
      <c r="E57" s="104" t="s">
        <v>1</v>
      </c>
      <c r="F57" s="104"/>
      <c r="G57" s="104"/>
      <c r="H57" s="104" t="s">
        <v>38</v>
      </c>
      <c r="I57" s="104" t="s">
        <v>68</v>
      </c>
      <c r="J57" s="101">
        <v>10000</v>
      </c>
      <c r="K57" s="105">
        <v>11500</v>
      </c>
      <c r="L57" s="71">
        <v>1746.88</v>
      </c>
      <c r="M57" s="71">
        <v>812.5</v>
      </c>
      <c r="N57" s="71">
        <v>1077.5</v>
      </c>
      <c r="O57" s="71">
        <v>850</v>
      </c>
      <c r="P57" s="71">
        <v>1460.63</v>
      </c>
      <c r="Q57" s="71">
        <v>1320</v>
      </c>
      <c r="R57" s="71">
        <v>919.76</v>
      </c>
      <c r="S57" s="71">
        <v>850</v>
      </c>
      <c r="T57" s="71">
        <v>884.88</v>
      </c>
      <c r="U57" s="71">
        <v>2415.2</v>
      </c>
      <c r="V57" s="127">
        <v>897.5</v>
      </c>
      <c r="W57" s="71"/>
      <c r="X57" s="101">
        <f t="shared" si="10"/>
        <v>13234.849999999999</v>
      </c>
      <c r="Y57" s="101">
        <f t="shared" si="11"/>
        <v>-1734.8499999999985</v>
      </c>
      <c r="Z57" s="128"/>
      <c r="AA57" s="118"/>
      <c r="AB57" s="118"/>
    </row>
    <row r="58" spans="1:28" s="106" customFormat="1" ht="12">
      <c r="A58" s="104"/>
      <c r="B58" s="104"/>
      <c r="C58" s="104"/>
      <c r="D58" s="104" t="s">
        <v>53</v>
      </c>
      <c r="E58" s="104" t="s">
        <v>1</v>
      </c>
      <c r="F58" s="104"/>
      <c r="G58" s="104"/>
      <c r="H58" s="104" t="s">
        <v>39</v>
      </c>
      <c r="I58" s="104" t="s">
        <v>97</v>
      </c>
      <c r="J58" s="101">
        <v>0</v>
      </c>
      <c r="K58" s="71">
        <v>0</v>
      </c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127"/>
      <c r="W58" s="71"/>
      <c r="X58" s="101">
        <f t="shared" si="10"/>
        <v>0</v>
      </c>
      <c r="Y58" s="101">
        <f t="shared" si="11"/>
        <v>0</v>
      </c>
      <c r="Z58" s="128"/>
      <c r="AA58" s="118"/>
      <c r="AB58" s="118"/>
    </row>
    <row r="59" spans="1:28" s="106" customFormat="1" ht="12">
      <c r="A59" s="104"/>
      <c r="B59" s="104"/>
      <c r="C59" s="104"/>
      <c r="D59" s="104" t="s">
        <v>53</v>
      </c>
      <c r="E59" s="104" t="s">
        <v>1</v>
      </c>
      <c r="F59" s="104"/>
      <c r="G59" s="104"/>
      <c r="H59" s="104" t="s">
        <v>40</v>
      </c>
      <c r="I59" s="104" t="s">
        <v>88</v>
      </c>
      <c r="J59" s="101">
        <v>4000</v>
      </c>
      <c r="K59" s="105">
        <v>400</v>
      </c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127"/>
      <c r="W59" s="71"/>
      <c r="X59" s="101">
        <f t="shared" si="10"/>
        <v>0</v>
      </c>
      <c r="Y59" s="101">
        <f t="shared" si="11"/>
        <v>400</v>
      </c>
      <c r="Z59" s="128"/>
      <c r="AA59" s="118"/>
      <c r="AB59" s="118"/>
    </row>
    <row r="60" spans="1:27" ht="12" hidden="1">
      <c r="A60" s="19"/>
      <c r="B60" s="19"/>
      <c r="C60" s="19"/>
      <c r="D60" s="19"/>
      <c r="E60" s="19"/>
      <c r="F60" s="19"/>
      <c r="G60" s="19">
        <v>7</v>
      </c>
      <c r="H60" s="19"/>
      <c r="I60" s="19"/>
      <c r="J60" s="29"/>
      <c r="K60" s="29"/>
      <c r="L60" s="23"/>
      <c r="M60" s="23"/>
      <c r="N60" s="23"/>
      <c r="O60" s="23"/>
      <c r="P60" s="23"/>
      <c r="Q60" s="21"/>
      <c r="R60" s="21"/>
      <c r="S60" s="108"/>
      <c r="T60" s="108"/>
      <c r="U60" s="23"/>
      <c r="V60" s="117"/>
      <c r="W60" s="23"/>
      <c r="X60" s="29"/>
      <c r="Y60" s="20">
        <f t="shared" si="11"/>
        <v>0</v>
      </c>
      <c r="AA60" s="81"/>
    </row>
    <row r="61" spans="1:25" ht="22.5" customHeight="1">
      <c r="A61" s="19"/>
      <c r="B61" s="19"/>
      <c r="C61" s="19"/>
      <c r="D61" s="19"/>
      <c r="E61" s="19"/>
      <c r="F61" s="19"/>
      <c r="G61" s="17" t="s">
        <v>4</v>
      </c>
      <c r="H61" s="17" t="s">
        <v>66</v>
      </c>
      <c r="I61" s="17"/>
      <c r="J61" s="18">
        <f>SUBTOTAL(9,J62:J68)</f>
        <v>5000</v>
      </c>
      <c r="K61" s="18">
        <f>SUBTOTAL(9,K62:K68)</f>
        <v>5600</v>
      </c>
      <c r="L61" s="18">
        <f aca="true" t="shared" si="12" ref="L61:Y61">SUBTOTAL(9,L62:L68)</f>
        <v>566.74</v>
      </c>
      <c r="M61" s="18">
        <f t="shared" si="12"/>
        <v>363.8</v>
      </c>
      <c r="N61" s="18">
        <f t="shared" si="12"/>
        <v>425.89</v>
      </c>
      <c r="O61" s="18">
        <f t="shared" si="12"/>
        <v>458.25</v>
      </c>
      <c r="P61" s="18">
        <f t="shared" si="12"/>
        <v>401.51</v>
      </c>
      <c r="Q61" s="18">
        <f t="shared" si="12"/>
        <v>428.39</v>
      </c>
      <c r="R61" s="18">
        <f t="shared" si="12"/>
        <v>580.56</v>
      </c>
      <c r="S61" s="18">
        <f t="shared" si="12"/>
        <v>511.67</v>
      </c>
      <c r="T61" s="18">
        <f t="shared" si="12"/>
        <v>364.26</v>
      </c>
      <c r="U61" s="18">
        <f t="shared" si="12"/>
        <v>470.72</v>
      </c>
      <c r="V61" s="18">
        <f t="shared" si="12"/>
        <v>437.93</v>
      </c>
      <c r="W61" s="18">
        <f t="shared" si="12"/>
        <v>0</v>
      </c>
      <c r="X61" s="18">
        <f t="shared" si="12"/>
        <v>5009.72</v>
      </c>
      <c r="Y61" s="18">
        <f t="shared" si="12"/>
        <v>590.2799999999997</v>
      </c>
    </row>
    <row r="62" spans="1:25" ht="30" customHeight="1" hidden="1">
      <c r="A62" s="19"/>
      <c r="B62" s="19"/>
      <c r="C62" s="19"/>
      <c r="D62" s="19"/>
      <c r="E62" s="19"/>
      <c r="F62" s="19"/>
      <c r="G62" s="90"/>
      <c r="H62" s="90"/>
      <c r="I62" s="90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12">
      <c r="A63" s="19"/>
      <c r="B63" s="19"/>
      <c r="C63" s="19"/>
      <c r="D63" s="19" t="s">
        <v>53</v>
      </c>
      <c r="E63" s="19" t="s">
        <v>1</v>
      </c>
      <c r="F63" s="19"/>
      <c r="G63" s="19"/>
      <c r="H63" s="19" t="s">
        <v>41</v>
      </c>
      <c r="I63" s="19" t="s">
        <v>102</v>
      </c>
      <c r="J63" s="20">
        <v>0</v>
      </c>
      <c r="K63" s="20">
        <v>0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>
        <f>SUM(L63:W63)</f>
        <v>0</v>
      </c>
      <c r="Y63" s="70">
        <f>+K63-X63</f>
        <v>0</v>
      </c>
    </row>
    <row r="64" spans="1:25" ht="12">
      <c r="A64" s="19"/>
      <c r="B64" s="19"/>
      <c r="C64" s="19"/>
      <c r="D64" s="19" t="s">
        <v>53</v>
      </c>
      <c r="E64" s="19" t="s">
        <v>1</v>
      </c>
      <c r="F64" s="19"/>
      <c r="G64" s="19"/>
      <c r="H64" s="19" t="s">
        <v>42</v>
      </c>
      <c r="I64" s="19" t="s">
        <v>93</v>
      </c>
      <c r="J64" s="20">
        <v>5000</v>
      </c>
      <c r="K64" s="20">
        <v>5600</v>
      </c>
      <c r="L64" s="23">
        <v>566.74</v>
      </c>
      <c r="M64" s="23">
        <v>363.8</v>
      </c>
      <c r="N64" s="23">
        <v>425.89</v>
      </c>
      <c r="O64" s="23">
        <v>458.25</v>
      </c>
      <c r="P64" s="23">
        <v>401.51</v>
      </c>
      <c r="Q64" s="23">
        <v>428.39</v>
      </c>
      <c r="R64" s="23">
        <v>580.56</v>
      </c>
      <c r="S64" s="109">
        <v>511.67</v>
      </c>
      <c r="T64" s="109">
        <v>364.26</v>
      </c>
      <c r="U64" s="112">
        <v>470.72</v>
      </c>
      <c r="V64" s="21">
        <v>437.93</v>
      </c>
      <c r="W64" s="23"/>
      <c r="X64" s="20">
        <f>SUM(L64:W64)</f>
        <v>5009.72</v>
      </c>
      <c r="Y64" s="70">
        <f>+K64-X64</f>
        <v>590.2799999999997</v>
      </c>
    </row>
    <row r="65" spans="1:25" ht="12">
      <c r="A65" s="19"/>
      <c r="B65" s="19"/>
      <c r="C65" s="19"/>
      <c r="D65" s="19" t="s">
        <v>53</v>
      </c>
      <c r="E65" s="19" t="s">
        <v>1</v>
      </c>
      <c r="F65" s="19"/>
      <c r="G65" s="19"/>
      <c r="H65" s="19" t="s">
        <v>43</v>
      </c>
      <c r="I65" s="19" t="s">
        <v>109</v>
      </c>
      <c r="J65" s="20">
        <v>0</v>
      </c>
      <c r="K65" s="20">
        <v>0</v>
      </c>
      <c r="L65" s="20"/>
      <c r="M65" s="20"/>
      <c r="N65" s="23"/>
      <c r="O65" s="20"/>
      <c r="P65" s="20"/>
      <c r="Q65" s="20"/>
      <c r="R65" s="20"/>
      <c r="S65" s="20"/>
      <c r="T65" s="20"/>
      <c r="U65" s="20"/>
      <c r="V65" s="20"/>
      <c r="W65" s="20"/>
      <c r="X65" s="20">
        <f>SUM(L65:W65)</f>
        <v>0</v>
      </c>
      <c r="Y65" s="70">
        <f>+K65-X65</f>
        <v>0</v>
      </c>
    </row>
    <row r="66" spans="1:25" ht="12">
      <c r="A66" s="19"/>
      <c r="B66" s="19"/>
      <c r="C66" s="19"/>
      <c r="D66" s="19" t="s">
        <v>53</v>
      </c>
      <c r="E66" s="19" t="s">
        <v>1</v>
      </c>
      <c r="F66" s="19"/>
      <c r="G66" s="19"/>
      <c r="H66" s="19" t="s">
        <v>44</v>
      </c>
      <c r="I66" s="19" t="s">
        <v>58</v>
      </c>
      <c r="J66" s="20">
        <v>0</v>
      </c>
      <c r="K66" s="20">
        <v>0</v>
      </c>
      <c r="L66" s="20"/>
      <c r="M66" s="20"/>
      <c r="N66" s="23"/>
      <c r="O66" s="20"/>
      <c r="P66" s="20"/>
      <c r="Q66" s="20"/>
      <c r="R66" s="20"/>
      <c r="S66" s="20"/>
      <c r="T66" s="20"/>
      <c r="U66" s="20"/>
      <c r="V66" s="20"/>
      <c r="W66" s="20"/>
      <c r="X66" s="20">
        <f>SUM(L66:W66)</f>
        <v>0</v>
      </c>
      <c r="Y66" s="70">
        <f>+K66-X66</f>
        <v>0</v>
      </c>
    </row>
    <row r="67" spans="1:25" ht="12">
      <c r="A67" s="19"/>
      <c r="B67" s="19"/>
      <c r="C67" s="19"/>
      <c r="D67" s="19" t="s">
        <v>53</v>
      </c>
      <c r="E67" s="19" t="s">
        <v>1</v>
      </c>
      <c r="F67" s="19"/>
      <c r="G67" s="19"/>
      <c r="H67" s="19" t="s">
        <v>45</v>
      </c>
      <c r="I67" s="19" t="s">
        <v>89</v>
      </c>
      <c r="J67" s="20">
        <v>0</v>
      </c>
      <c r="K67" s="20">
        <v>0</v>
      </c>
      <c r="L67" s="20"/>
      <c r="M67" s="20"/>
      <c r="N67" s="23"/>
      <c r="O67" s="20"/>
      <c r="P67" s="20"/>
      <c r="Q67" s="20"/>
      <c r="R67" s="20"/>
      <c r="S67" s="20"/>
      <c r="T67" s="20"/>
      <c r="U67" s="20"/>
      <c r="V67" s="20"/>
      <c r="W67" s="20"/>
      <c r="X67" s="20">
        <f>SUM(L67:W67)</f>
        <v>0</v>
      </c>
      <c r="Y67" s="70">
        <f>+K67-X67</f>
        <v>0</v>
      </c>
    </row>
    <row r="68" spans="1:25" ht="9" customHeight="1" hidden="1">
      <c r="A68" s="19"/>
      <c r="B68" s="19"/>
      <c r="C68" s="19"/>
      <c r="D68" s="19"/>
      <c r="E68" s="19"/>
      <c r="F68" s="19"/>
      <c r="G68" s="19">
        <v>7</v>
      </c>
      <c r="H68" s="19"/>
      <c r="I68" s="1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12" hidden="1">
      <c r="A69" s="19"/>
      <c r="B69" s="19"/>
      <c r="C69" s="19"/>
      <c r="D69" s="19"/>
      <c r="E69" s="19"/>
      <c r="F69" s="19"/>
      <c r="G69" s="19">
        <v>7</v>
      </c>
      <c r="H69" s="19"/>
      <c r="I69" s="1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19.5" customHeight="1">
      <c r="A70" s="19"/>
      <c r="B70" s="19"/>
      <c r="C70" s="19"/>
      <c r="D70" s="19"/>
      <c r="E70" s="19"/>
      <c r="F70" s="19"/>
      <c r="G70" s="17" t="s">
        <v>114</v>
      </c>
      <c r="H70" s="17" t="s">
        <v>115</v>
      </c>
      <c r="I70" s="31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9.5" customHeight="1">
      <c r="A71" s="19"/>
      <c r="B71" s="19"/>
      <c r="C71" s="19"/>
      <c r="D71" s="19" t="s">
        <v>53</v>
      </c>
      <c r="E71" s="19" t="s">
        <v>1</v>
      </c>
      <c r="F71" s="19"/>
      <c r="G71" s="19"/>
      <c r="H71" s="32">
        <v>4221</v>
      </c>
      <c r="I71" s="19" t="s">
        <v>116</v>
      </c>
      <c r="J71" s="29">
        <v>0</v>
      </c>
      <c r="K71" s="29">
        <v>0</v>
      </c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0">
        <f>SUM(L71:W71)</f>
        <v>0</v>
      </c>
      <c r="Y71" s="70">
        <f>+K71-X71</f>
        <v>0</v>
      </c>
    </row>
    <row r="72" spans="1:25" ht="19.5" customHeight="1">
      <c r="A72" s="19"/>
      <c r="B72" s="19"/>
      <c r="C72" s="19"/>
      <c r="D72" s="19" t="s">
        <v>53</v>
      </c>
      <c r="E72" s="19" t="s">
        <v>1</v>
      </c>
      <c r="F72" s="19"/>
      <c r="G72" s="19"/>
      <c r="H72" s="32">
        <v>4241</v>
      </c>
      <c r="I72" s="27" t="s">
        <v>117</v>
      </c>
      <c r="J72" s="29">
        <v>0</v>
      </c>
      <c r="K72" s="29">
        <v>0</v>
      </c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0">
        <f>SUM(L72:W72)</f>
        <v>0</v>
      </c>
      <c r="Y72" s="70">
        <f>+K72-X72</f>
        <v>0</v>
      </c>
    </row>
    <row r="73" spans="1:25" ht="19.5" customHeight="1">
      <c r="A73" s="19"/>
      <c r="B73" s="19"/>
      <c r="C73" s="19"/>
      <c r="D73" s="19" t="s">
        <v>53</v>
      </c>
      <c r="E73" s="19" t="s">
        <v>1</v>
      </c>
      <c r="F73" s="19"/>
      <c r="G73" s="19"/>
      <c r="H73" s="32">
        <v>4243</v>
      </c>
      <c r="I73" s="19" t="s">
        <v>118</v>
      </c>
      <c r="J73" s="29">
        <v>0</v>
      </c>
      <c r="K73" s="29">
        <v>0</v>
      </c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0">
        <f>SUM(L73:W73)</f>
        <v>0</v>
      </c>
      <c r="Y73" s="70">
        <f>+K73-X73</f>
        <v>0</v>
      </c>
    </row>
    <row r="74" spans="1:25" ht="12">
      <c r="A74" s="19"/>
      <c r="B74" s="19"/>
      <c r="C74" s="19"/>
      <c r="D74" s="19"/>
      <c r="E74" s="19"/>
      <c r="F74" s="19"/>
      <c r="G74" s="19"/>
      <c r="H74" s="19"/>
      <c r="I74" s="1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0"/>
      <c r="Y74" s="70"/>
    </row>
    <row r="75" spans="1:25" ht="12">
      <c r="A75" s="19"/>
      <c r="B75" s="19"/>
      <c r="C75" s="19"/>
      <c r="D75" s="19"/>
      <c r="E75" s="19"/>
      <c r="F75" s="19"/>
      <c r="G75" s="19"/>
      <c r="H75" s="19"/>
      <c r="I75" s="1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0"/>
      <c r="Y75" s="20"/>
    </row>
    <row r="76" spans="1:25" ht="27.75" customHeight="1">
      <c r="A76" s="92" t="s">
        <v>55</v>
      </c>
      <c r="B76" s="92"/>
      <c r="C76" s="92"/>
      <c r="D76" s="92"/>
      <c r="E76" s="92"/>
      <c r="F76" s="92"/>
      <c r="G76" s="92" t="s">
        <v>55</v>
      </c>
      <c r="H76" s="92"/>
      <c r="I76" s="92"/>
      <c r="J76" s="93">
        <f>SUBTOTAL(9,J22:J75)</f>
        <v>6152608</v>
      </c>
      <c r="K76" s="93">
        <f>SUBTOTAL(9,K22:K75)</f>
        <v>5983661</v>
      </c>
      <c r="L76" s="93">
        <f aca="true" t="shared" si="13" ref="L76:Y76">SUBTOTAL(9,L22:L75)</f>
        <v>423641.4699999999</v>
      </c>
      <c r="M76" s="93">
        <f t="shared" si="13"/>
        <v>437595.08</v>
      </c>
      <c r="N76" s="93">
        <f t="shared" si="13"/>
        <v>446265.98</v>
      </c>
      <c r="O76" s="93">
        <f t="shared" si="13"/>
        <v>435686.92</v>
      </c>
      <c r="P76" s="93">
        <f t="shared" si="13"/>
        <v>421071.61</v>
      </c>
      <c r="Q76" s="93">
        <f t="shared" si="13"/>
        <v>489062.37000000005</v>
      </c>
      <c r="R76" s="93">
        <f t="shared" si="13"/>
        <v>450258.29</v>
      </c>
      <c r="S76" s="93">
        <f t="shared" si="13"/>
        <v>342819.23</v>
      </c>
      <c r="T76" s="93">
        <f t="shared" si="13"/>
        <v>585451.9000000001</v>
      </c>
      <c r="U76" s="93">
        <f t="shared" si="13"/>
        <v>426659.92999999993</v>
      </c>
      <c r="V76" s="93">
        <f t="shared" si="13"/>
        <v>428997.6199999999</v>
      </c>
      <c r="W76" s="93">
        <f t="shared" si="13"/>
        <v>363470.7199999999</v>
      </c>
      <c r="X76" s="93">
        <f t="shared" si="13"/>
        <v>5250981.119999998</v>
      </c>
      <c r="Y76" s="93">
        <f t="shared" si="13"/>
        <v>732679.8800000004</v>
      </c>
    </row>
    <row r="81" ht="12">
      <c r="K81" s="81">
        <f>+K61+K30</f>
        <v>1762500</v>
      </c>
    </row>
  </sheetData>
  <sheetProtection/>
  <mergeCells count="2">
    <mergeCell ref="A3:J3"/>
    <mergeCell ref="A4:Y4"/>
  </mergeCells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60"/>
  <sheetViews>
    <sheetView zoomScalePageLayoutView="0" workbookViewId="0" topLeftCell="A1">
      <selection activeCell="G45" sqref="G45"/>
    </sheetView>
  </sheetViews>
  <sheetFormatPr defaultColWidth="9.140625" defaultRowHeight="15"/>
  <cols>
    <col min="1" max="1" width="11.421875" style="14" customWidth="1"/>
    <col min="2" max="2" width="16.28125" style="14" customWidth="1"/>
    <col min="3" max="4" width="9.140625" style="14" customWidth="1"/>
    <col min="5" max="5" width="50.28125" style="14" customWidth="1"/>
    <col min="6" max="6" width="23.7109375" style="14" customWidth="1"/>
    <col min="7" max="8" width="19.7109375" style="14" customWidth="1"/>
    <col min="9" max="9" width="17.140625" style="14" customWidth="1"/>
    <col min="10" max="18" width="15.28125" style="14" customWidth="1"/>
    <col min="19" max="19" width="0.13671875" style="14" customWidth="1"/>
    <col min="20" max="20" width="15.28125" style="14" customWidth="1"/>
    <col min="21" max="21" width="19.57421875" style="14" customWidth="1"/>
    <col min="22" max="22" width="20.140625" style="14" customWidth="1"/>
    <col min="23" max="23" width="18.00390625" style="14" customWidth="1"/>
    <col min="24" max="24" width="11.7109375" style="14" bestFit="1" customWidth="1"/>
    <col min="25" max="16384" width="9.140625" style="14" customWidth="1"/>
  </cols>
  <sheetData>
    <row r="2" ht="12.75">
      <c r="A2" s="141"/>
    </row>
    <row r="3" spans="1:22" ht="20.25" customHeight="1">
      <c r="A3" s="269" t="s">
        <v>179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</row>
    <row r="4" spans="1:12" ht="20.2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6" spans="1:23" ht="25.5">
      <c r="A6" s="139" t="s">
        <v>52</v>
      </c>
      <c r="B6" s="139" t="s">
        <v>91</v>
      </c>
      <c r="C6" s="139" t="s">
        <v>49</v>
      </c>
      <c r="D6" s="139" t="s">
        <v>61</v>
      </c>
      <c r="E6" s="139" t="str">
        <f>CONCATENATE("Naziv ",,D6)</f>
        <v>Naziv Konto 4. razina</v>
      </c>
      <c r="F6" s="140" t="s">
        <v>164</v>
      </c>
      <c r="G6" s="140" t="s">
        <v>209</v>
      </c>
      <c r="H6" s="140" t="s">
        <v>211</v>
      </c>
      <c r="I6" s="143" t="s">
        <v>165</v>
      </c>
      <c r="J6" s="143" t="s">
        <v>166</v>
      </c>
      <c r="K6" s="143" t="s">
        <v>167</v>
      </c>
      <c r="L6" s="143" t="s">
        <v>168</v>
      </c>
      <c r="M6" s="143" t="s">
        <v>169</v>
      </c>
      <c r="N6" s="143" t="s">
        <v>170</v>
      </c>
      <c r="O6" s="143" t="s">
        <v>171</v>
      </c>
      <c r="P6" s="143" t="s">
        <v>172</v>
      </c>
      <c r="Q6" s="143" t="s">
        <v>173</v>
      </c>
      <c r="R6" s="143" t="s">
        <v>174</v>
      </c>
      <c r="S6" s="143" t="s">
        <v>175</v>
      </c>
      <c r="T6" s="143" t="s">
        <v>176</v>
      </c>
      <c r="U6" s="143" t="s">
        <v>177</v>
      </c>
      <c r="V6" s="143" t="s">
        <v>178</v>
      </c>
      <c r="W6" s="143" t="s">
        <v>210</v>
      </c>
    </row>
    <row r="7" spans="1:23" ht="15.7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</row>
    <row r="8" spans="1:23" ht="23.25" customHeight="1">
      <c r="A8" s="144" t="s">
        <v>6</v>
      </c>
      <c r="B8" s="144" t="s">
        <v>77</v>
      </c>
      <c r="C8" s="144"/>
      <c r="D8" s="144"/>
      <c r="E8" s="144"/>
      <c r="F8" s="145">
        <f aca="true" t="shared" si="0" ref="F8:W8">SUBTOTAL(9,F9:F131)</f>
        <v>47073410.81</v>
      </c>
      <c r="G8" s="145">
        <f>SUBTOTAL(9,G9:G131)</f>
        <v>49227156.76</v>
      </c>
      <c r="H8" s="145">
        <f>SUBTOTAL(9,H9:H131)</f>
        <v>-2153745.9499999997</v>
      </c>
      <c r="I8" s="145">
        <f t="shared" si="0"/>
        <v>493027.5500000001</v>
      </c>
      <c r="J8" s="145">
        <f t="shared" si="0"/>
        <v>657535.1499999999</v>
      </c>
      <c r="K8" s="145">
        <f t="shared" si="0"/>
        <v>825543.01</v>
      </c>
      <c r="L8" s="145">
        <f t="shared" si="0"/>
        <v>0</v>
      </c>
      <c r="M8" s="145">
        <f t="shared" si="0"/>
        <v>0</v>
      </c>
      <c r="N8" s="145">
        <f t="shared" si="0"/>
        <v>0</v>
      </c>
      <c r="O8" s="145">
        <f t="shared" si="0"/>
        <v>0</v>
      </c>
      <c r="P8" s="145">
        <f t="shared" si="0"/>
        <v>0</v>
      </c>
      <c r="Q8" s="145">
        <f t="shared" si="0"/>
        <v>0</v>
      </c>
      <c r="R8" s="145">
        <f t="shared" si="0"/>
        <v>0</v>
      </c>
      <c r="S8" s="145">
        <f t="shared" si="0"/>
        <v>0</v>
      </c>
      <c r="T8" s="145">
        <f t="shared" si="0"/>
        <v>0</v>
      </c>
      <c r="U8" s="145">
        <f t="shared" si="0"/>
        <v>1966105.7099999993</v>
      </c>
      <c r="V8" s="145">
        <f t="shared" si="0"/>
        <v>45107305.1</v>
      </c>
      <c r="W8" s="145">
        <f t="shared" si="0"/>
        <v>47244840.989999995</v>
      </c>
    </row>
    <row r="9" spans="1:23" ht="30" customHeight="1" hidden="1">
      <c r="A9" s="144"/>
      <c r="B9" s="144"/>
      <c r="C9" s="144"/>
      <c r="D9" s="144"/>
      <c r="E9" s="144"/>
      <c r="F9" s="145"/>
      <c r="G9" s="145"/>
      <c r="H9" s="145"/>
      <c r="I9" s="146"/>
      <c r="J9" s="146"/>
      <c r="K9" s="147"/>
      <c r="L9" s="148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</row>
    <row r="10" spans="1:23" ht="23.25" customHeight="1">
      <c r="A10" s="146"/>
      <c r="B10" s="149" t="s">
        <v>53</v>
      </c>
      <c r="C10" s="149" t="s">
        <v>87</v>
      </c>
      <c r="D10" s="149"/>
      <c r="E10" s="149"/>
      <c r="F10" s="150">
        <f>SUBTOTAL(9,F11:F44)</f>
        <v>6074155.8100000005</v>
      </c>
      <c r="G10" s="150">
        <f>SUBTOTAL(9,G11:G44)</f>
        <v>7331277.24</v>
      </c>
      <c r="H10" s="150">
        <f>SUBTOTAL(9,H11:H44)</f>
        <v>-1257121.4299999997</v>
      </c>
      <c r="I10" s="150">
        <f aca="true" t="shared" si="1" ref="I10:W10">SUBTOTAL(9,I11:I44)</f>
        <v>336980.0500000001</v>
      </c>
      <c r="J10" s="150">
        <f t="shared" si="1"/>
        <v>457876.6999999999</v>
      </c>
      <c r="K10" s="150">
        <f t="shared" si="1"/>
        <v>489038.46</v>
      </c>
      <c r="L10" s="150">
        <f t="shared" si="1"/>
        <v>0</v>
      </c>
      <c r="M10" s="150">
        <f t="shared" si="1"/>
        <v>0</v>
      </c>
      <c r="N10" s="150">
        <f t="shared" si="1"/>
        <v>0</v>
      </c>
      <c r="O10" s="150">
        <f t="shared" si="1"/>
        <v>0</v>
      </c>
      <c r="P10" s="150">
        <f t="shared" si="1"/>
        <v>0</v>
      </c>
      <c r="Q10" s="150">
        <f t="shared" si="1"/>
        <v>0</v>
      </c>
      <c r="R10" s="150">
        <f t="shared" si="1"/>
        <v>0</v>
      </c>
      <c r="S10" s="150">
        <f t="shared" si="1"/>
        <v>0</v>
      </c>
      <c r="T10" s="150">
        <f t="shared" si="1"/>
        <v>0</v>
      </c>
      <c r="U10" s="150">
        <f t="shared" si="1"/>
        <v>1283895.2099999997</v>
      </c>
      <c r="V10" s="150">
        <f t="shared" si="1"/>
        <v>4790260.600000001</v>
      </c>
      <c r="W10" s="150">
        <f t="shared" si="1"/>
        <v>6047382.029999999</v>
      </c>
    </row>
    <row r="11" spans="1:23" ht="30" customHeight="1" hidden="1">
      <c r="A11" s="146"/>
      <c r="B11" s="149"/>
      <c r="C11" s="149"/>
      <c r="D11" s="149"/>
      <c r="E11" s="149"/>
      <c r="F11" s="150"/>
      <c r="G11" s="150"/>
      <c r="H11" s="150"/>
      <c r="I11" s="146"/>
      <c r="J11" s="146"/>
      <c r="K11" s="147"/>
      <c r="L11" s="148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</row>
    <row r="12" spans="1:23" ht="12.75">
      <c r="A12" s="146"/>
      <c r="B12" s="146"/>
      <c r="C12" s="137" t="s">
        <v>1</v>
      </c>
      <c r="D12" s="137" t="s">
        <v>76</v>
      </c>
      <c r="E12" s="137"/>
      <c r="F12" s="138">
        <f>SUBTOTAL(9,F13:F43)</f>
        <v>6074155.8100000005</v>
      </c>
      <c r="G12" s="138">
        <f>SUBTOTAL(9,G13:G43)</f>
        <v>7331277.24</v>
      </c>
      <c r="H12" s="138">
        <f>SUBTOTAL(9,H13:H43)</f>
        <v>-1257121.4299999997</v>
      </c>
      <c r="I12" s="138">
        <f aca="true" t="shared" si="2" ref="I12:W12">SUBTOTAL(9,I13:I43)</f>
        <v>336980.0500000001</v>
      </c>
      <c r="J12" s="138">
        <f t="shared" si="2"/>
        <v>457876.6999999999</v>
      </c>
      <c r="K12" s="138">
        <f t="shared" si="2"/>
        <v>489038.46</v>
      </c>
      <c r="L12" s="138">
        <f t="shared" si="2"/>
        <v>0</v>
      </c>
      <c r="M12" s="138">
        <f t="shared" si="2"/>
        <v>0</v>
      </c>
      <c r="N12" s="138">
        <f t="shared" si="2"/>
        <v>0</v>
      </c>
      <c r="O12" s="138">
        <f t="shared" si="2"/>
        <v>0</v>
      </c>
      <c r="P12" s="138">
        <f t="shared" si="2"/>
        <v>0</v>
      </c>
      <c r="Q12" s="138">
        <f t="shared" si="2"/>
        <v>0</v>
      </c>
      <c r="R12" s="138">
        <f t="shared" si="2"/>
        <v>0</v>
      </c>
      <c r="S12" s="138">
        <f t="shared" si="2"/>
        <v>0</v>
      </c>
      <c r="T12" s="138">
        <f t="shared" si="2"/>
        <v>0</v>
      </c>
      <c r="U12" s="138">
        <f t="shared" si="2"/>
        <v>1283895.2099999997</v>
      </c>
      <c r="V12" s="138">
        <f t="shared" si="2"/>
        <v>4790260.600000001</v>
      </c>
      <c r="W12" s="138">
        <f t="shared" si="2"/>
        <v>6047382.029999999</v>
      </c>
    </row>
    <row r="13" spans="1:23" ht="12.75" hidden="1">
      <c r="A13" s="146"/>
      <c r="B13" s="146"/>
      <c r="C13" s="146"/>
      <c r="D13" s="146"/>
      <c r="E13" s="146"/>
      <c r="F13" s="151"/>
      <c r="G13" s="151"/>
      <c r="H13" s="151"/>
      <c r="I13" s="146"/>
      <c r="J13" s="146"/>
      <c r="K13" s="152"/>
      <c r="L13" s="153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</row>
    <row r="14" spans="1:23" ht="12.75">
      <c r="A14" s="146"/>
      <c r="B14" s="146"/>
      <c r="C14" s="146"/>
      <c r="D14" s="146" t="s">
        <v>7</v>
      </c>
      <c r="E14" s="146" t="s">
        <v>92</v>
      </c>
      <c r="F14" s="151">
        <v>3500348.74</v>
      </c>
      <c r="G14" s="151">
        <v>3592589.19</v>
      </c>
      <c r="H14" s="151">
        <f>+F14-G14</f>
        <v>-92240.44999999972</v>
      </c>
      <c r="I14" s="151">
        <v>224931.39</v>
      </c>
      <c r="J14" s="197">
        <v>231936.8</v>
      </c>
      <c r="K14" s="110">
        <f>220991.56-308.08</f>
        <v>220683.48</v>
      </c>
      <c r="L14" s="195"/>
      <c r="M14" s="156"/>
      <c r="N14" s="156"/>
      <c r="O14" s="156"/>
      <c r="P14" s="156"/>
      <c r="Q14" s="156"/>
      <c r="R14" s="146"/>
      <c r="S14" s="146"/>
      <c r="T14" s="146"/>
      <c r="U14" s="156">
        <f>+I14+J14+K14+L14+M14+N14+O14+P14+Q14+R14+S14+T14</f>
        <v>677551.67</v>
      </c>
      <c r="V14" s="156">
        <f>+F14-U14</f>
        <v>2822797.0700000003</v>
      </c>
      <c r="W14" s="156">
        <f aca="true" t="shared" si="3" ref="W14:W43">+G14-U14</f>
        <v>2915037.52</v>
      </c>
    </row>
    <row r="15" spans="1:24" ht="12.75">
      <c r="A15" s="146"/>
      <c r="B15" s="146"/>
      <c r="C15" s="146"/>
      <c r="D15" s="146" t="s">
        <v>9</v>
      </c>
      <c r="E15" s="146" t="s">
        <v>96</v>
      </c>
      <c r="F15" s="151">
        <v>9000</v>
      </c>
      <c r="G15" s="151">
        <v>30000</v>
      </c>
      <c r="H15" s="151">
        <f aca="true" t="shared" si="4" ref="H15:H43">+F15-G15</f>
        <v>-21000</v>
      </c>
      <c r="I15" s="146"/>
      <c r="J15" s="156">
        <v>14855.25</v>
      </c>
      <c r="K15" s="110"/>
      <c r="L15" s="195"/>
      <c r="M15" s="156"/>
      <c r="N15" s="156"/>
      <c r="O15" s="156"/>
      <c r="P15" s="156"/>
      <c r="Q15" s="156"/>
      <c r="R15" s="146"/>
      <c r="S15" s="146"/>
      <c r="T15" s="146"/>
      <c r="U15" s="156">
        <f aca="true" t="shared" si="5" ref="U15:U43">+I15+J15+K15+L15+M15+N15+O15+P15+Q15+R15+S15+T15</f>
        <v>14855.25</v>
      </c>
      <c r="V15" s="165">
        <f aca="true" t="shared" si="6" ref="V15:V43">+F15-U15</f>
        <v>-5855.25</v>
      </c>
      <c r="W15" s="156">
        <f t="shared" si="3"/>
        <v>15144.75</v>
      </c>
      <c r="X15" s="208">
        <f>+G10+G45</f>
        <v>9251214.76</v>
      </c>
    </row>
    <row r="16" spans="1:23" ht="12.75">
      <c r="A16" s="146"/>
      <c r="B16" s="146"/>
      <c r="C16" s="146"/>
      <c r="D16" s="146" t="s">
        <v>138</v>
      </c>
      <c r="E16" s="146" t="s">
        <v>113</v>
      </c>
      <c r="F16" s="151">
        <v>1700</v>
      </c>
      <c r="G16" s="151">
        <v>4000</v>
      </c>
      <c r="H16" s="151">
        <f t="shared" si="4"/>
        <v>-2300</v>
      </c>
      <c r="I16" s="151">
        <v>345.58</v>
      </c>
      <c r="J16" s="156">
        <v>143.79</v>
      </c>
      <c r="K16" s="100">
        <v>308.08</v>
      </c>
      <c r="L16" s="195"/>
      <c r="M16" s="156"/>
      <c r="N16" s="156"/>
      <c r="O16" s="156"/>
      <c r="P16" s="156"/>
      <c r="Q16" s="156"/>
      <c r="R16" s="146"/>
      <c r="S16" s="146"/>
      <c r="T16" s="146"/>
      <c r="U16" s="156">
        <f t="shared" si="5"/>
        <v>797.45</v>
      </c>
      <c r="V16" s="165">
        <f t="shared" si="6"/>
        <v>902.55</v>
      </c>
      <c r="W16" s="156">
        <f t="shared" si="3"/>
        <v>3202.55</v>
      </c>
    </row>
    <row r="17" spans="1:23" ht="12.75">
      <c r="A17" s="146"/>
      <c r="B17" s="146"/>
      <c r="C17" s="146"/>
      <c r="D17" s="146" t="s">
        <v>10</v>
      </c>
      <c r="E17" s="146" t="s">
        <v>79</v>
      </c>
      <c r="F17" s="151">
        <v>129000</v>
      </c>
      <c r="G17" s="151">
        <v>129000</v>
      </c>
      <c r="H17" s="151">
        <f t="shared" si="4"/>
        <v>0</v>
      </c>
      <c r="I17" s="146">
        <v>5454.200000000001</v>
      </c>
      <c r="J17" s="156">
        <v>8371.78</v>
      </c>
      <c r="K17" s="100">
        <v>2945.03</v>
      </c>
      <c r="L17" s="195"/>
      <c r="M17" s="156"/>
      <c r="N17" s="156"/>
      <c r="O17" s="156"/>
      <c r="P17" s="156"/>
      <c r="Q17" s="156"/>
      <c r="R17" s="146"/>
      <c r="S17" s="146"/>
      <c r="T17" s="146"/>
      <c r="U17" s="156">
        <f t="shared" si="5"/>
        <v>16771.010000000002</v>
      </c>
      <c r="V17" s="156">
        <f t="shared" si="6"/>
        <v>112228.98999999999</v>
      </c>
      <c r="W17" s="156">
        <f t="shared" si="3"/>
        <v>112228.98999999999</v>
      </c>
    </row>
    <row r="18" spans="1:23" ht="12.75">
      <c r="A18" s="146"/>
      <c r="B18" s="146"/>
      <c r="C18" s="146"/>
      <c r="D18" s="146" t="s">
        <v>11</v>
      </c>
      <c r="E18" s="146" t="s">
        <v>94</v>
      </c>
      <c r="F18" s="151">
        <v>601607.07</v>
      </c>
      <c r="G18" s="151">
        <v>615172.61</v>
      </c>
      <c r="H18" s="151">
        <f t="shared" si="4"/>
        <v>-13565.540000000037</v>
      </c>
      <c r="I18" s="151">
        <v>37575.630000000005</v>
      </c>
      <c r="J18" s="156">
        <v>41108.869999999995</v>
      </c>
      <c r="K18" s="100">
        <f>36463.62+485.93</f>
        <v>36949.55</v>
      </c>
      <c r="L18" s="195"/>
      <c r="M18" s="156"/>
      <c r="N18" s="156"/>
      <c r="O18" s="156"/>
      <c r="P18" s="156"/>
      <c r="Q18" s="156"/>
      <c r="R18" s="146"/>
      <c r="S18" s="146"/>
      <c r="T18" s="146"/>
      <c r="U18" s="156">
        <f t="shared" si="5"/>
        <v>115634.05</v>
      </c>
      <c r="V18" s="156">
        <f t="shared" si="6"/>
        <v>485973.01999999996</v>
      </c>
      <c r="W18" s="156">
        <f t="shared" si="3"/>
        <v>499538.56</v>
      </c>
    </row>
    <row r="19" spans="1:23" ht="12.75">
      <c r="A19" s="146"/>
      <c r="B19" s="146"/>
      <c r="C19" s="146"/>
      <c r="D19" s="146" t="s">
        <v>13</v>
      </c>
      <c r="E19" s="146" t="s">
        <v>86</v>
      </c>
      <c r="F19" s="151">
        <v>8000</v>
      </c>
      <c r="G19" s="151">
        <v>8000</v>
      </c>
      <c r="H19" s="151">
        <f t="shared" si="4"/>
        <v>0</v>
      </c>
      <c r="I19" s="157">
        <v>300</v>
      </c>
      <c r="J19" s="156"/>
      <c r="K19" s="110">
        <v>521</v>
      </c>
      <c r="L19" s="195"/>
      <c r="M19" s="156"/>
      <c r="N19" s="156"/>
      <c r="O19" s="156"/>
      <c r="P19" s="156"/>
      <c r="Q19" s="156"/>
      <c r="R19" s="146"/>
      <c r="S19" s="146"/>
      <c r="T19" s="146"/>
      <c r="U19" s="156">
        <f t="shared" si="5"/>
        <v>821</v>
      </c>
      <c r="V19" s="156">
        <f t="shared" si="6"/>
        <v>7179</v>
      </c>
      <c r="W19" s="156">
        <f t="shared" si="3"/>
        <v>7179</v>
      </c>
    </row>
    <row r="20" spans="1:23" ht="12.75">
      <c r="A20" s="146"/>
      <c r="B20" s="146"/>
      <c r="C20" s="146"/>
      <c r="D20" s="146" t="s">
        <v>14</v>
      </c>
      <c r="E20" s="146" t="s">
        <v>106</v>
      </c>
      <c r="F20" s="151">
        <v>120000</v>
      </c>
      <c r="G20" s="151">
        <v>120000</v>
      </c>
      <c r="H20" s="151">
        <f t="shared" si="4"/>
        <v>0</v>
      </c>
      <c r="I20" s="157">
        <f>3236.5+4490.02</f>
        <v>7726.52</v>
      </c>
      <c r="J20" s="156">
        <v>7482.34</v>
      </c>
      <c r="K20" s="110">
        <f>3681.5+4242</f>
        <v>7923.5</v>
      </c>
      <c r="L20" s="195"/>
      <c r="M20" s="156"/>
      <c r="N20" s="156"/>
      <c r="O20" s="156"/>
      <c r="P20" s="156"/>
      <c r="Q20" s="156"/>
      <c r="R20" s="146"/>
      <c r="S20" s="146"/>
      <c r="T20" s="146"/>
      <c r="U20" s="156">
        <f t="shared" si="5"/>
        <v>23132.36</v>
      </c>
      <c r="V20" s="156">
        <f t="shared" si="6"/>
        <v>96867.64</v>
      </c>
      <c r="W20" s="156">
        <f t="shared" si="3"/>
        <v>96867.64</v>
      </c>
    </row>
    <row r="21" spans="1:23" ht="12.75">
      <c r="A21" s="146"/>
      <c r="B21" s="146"/>
      <c r="C21" s="146"/>
      <c r="D21" s="146" t="s">
        <v>15</v>
      </c>
      <c r="E21" s="146" t="s">
        <v>99</v>
      </c>
      <c r="F21" s="151">
        <v>5000</v>
      </c>
      <c r="G21" s="151">
        <v>5000</v>
      </c>
      <c r="H21" s="151">
        <f t="shared" si="4"/>
        <v>0</v>
      </c>
      <c r="I21" s="157">
        <v>4880</v>
      </c>
      <c r="J21" s="156"/>
      <c r="K21" s="110"/>
      <c r="L21" s="195"/>
      <c r="M21" s="156"/>
      <c r="N21" s="156"/>
      <c r="O21" s="156"/>
      <c r="P21" s="156"/>
      <c r="Q21" s="156"/>
      <c r="R21" s="146"/>
      <c r="S21" s="146"/>
      <c r="T21" s="146"/>
      <c r="U21" s="156">
        <f t="shared" si="5"/>
        <v>4880</v>
      </c>
      <c r="V21" s="165">
        <f t="shared" si="6"/>
        <v>120</v>
      </c>
      <c r="W21" s="156">
        <f t="shared" si="3"/>
        <v>120</v>
      </c>
    </row>
    <row r="22" spans="1:23" ht="12.75">
      <c r="A22" s="146"/>
      <c r="B22" s="146"/>
      <c r="C22" s="146"/>
      <c r="D22" s="146" t="s">
        <v>16</v>
      </c>
      <c r="E22" s="146" t="s">
        <v>101</v>
      </c>
      <c r="F22" s="201">
        <v>0</v>
      </c>
      <c r="G22" s="201">
        <v>2000</v>
      </c>
      <c r="H22" s="151">
        <f t="shared" si="4"/>
        <v>-2000</v>
      </c>
      <c r="I22" s="146"/>
      <c r="J22" s="156"/>
      <c r="K22" s="110">
        <v>570</v>
      </c>
      <c r="L22" s="195"/>
      <c r="M22" s="156"/>
      <c r="N22" s="156"/>
      <c r="O22" s="156"/>
      <c r="P22" s="156"/>
      <c r="Q22" s="156"/>
      <c r="R22" s="146"/>
      <c r="S22" s="146"/>
      <c r="T22" s="146"/>
      <c r="U22" s="156">
        <f t="shared" si="5"/>
        <v>570</v>
      </c>
      <c r="V22" s="165">
        <f t="shared" si="6"/>
        <v>-570</v>
      </c>
      <c r="W22" s="156">
        <f t="shared" si="3"/>
        <v>1430</v>
      </c>
    </row>
    <row r="23" spans="1:23" ht="12.75">
      <c r="A23" s="146"/>
      <c r="B23" s="146"/>
      <c r="C23" s="146"/>
      <c r="D23" s="146" t="s">
        <v>17</v>
      </c>
      <c r="E23" s="146" t="s">
        <v>95</v>
      </c>
      <c r="F23" s="151">
        <v>65000</v>
      </c>
      <c r="G23" s="151">
        <v>65000</v>
      </c>
      <c r="H23" s="151">
        <f t="shared" si="4"/>
        <v>0</v>
      </c>
      <c r="I23" s="157">
        <v>733.83</v>
      </c>
      <c r="J23" s="156">
        <v>8391.1</v>
      </c>
      <c r="K23" s="110">
        <v>4144.56</v>
      </c>
      <c r="L23" s="195"/>
      <c r="M23" s="156"/>
      <c r="N23" s="156"/>
      <c r="O23" s="156"/>
      <c r="P23" s="156"/>
      <c r="Q23" s="156"/>
      <c r="R23" s="146"/>
      <c r="S23" s="146"/>
      <c r="T23" s="146"/>
      <c r="U23" s="156">
        <f t="shared" si="5"/>
        <v>13269.490000000002</v>
      </c>
      <c r="V23" s="156">
        <f t="shared" si="6"/>
        <v>51730.509999999995</v>
      </c>
      <c r="W23" s="156">
        <f t="shared" si="3"/>
        <v>51730.509999999995</v>
      </c>
    </row>
    <row r="24" spans="1:23" ht="12.75">
      <c r="A24" s="146"/>
      <c r="B24" s="146"/>
      <c r="C24" s="146"/>
      <c r="D24" s="146" t="s">
        <v>19</v>
      </c>
      <c r="E24" s="146" t="s">
        <v>51</v>
      </c>
      <c r="F24" s="201">
        <v>151000</v>
      </c>
      <c r="G24" s="201">
        <v>320000</v>
      </c>
      <c r="H24" s="151">
        <f t="shared" si="4"/>
        <v>-169000</v>
      </c>
      <c r="I24" s="157">
        <v>33983.68</v>
      </c>
      <c r="J24" s="156">
        <v>23335.48</v>
      </c>
      <c r="K24" s="110">
        <v>83963.43</v>
      </c>
      <c r="L24" s="195"/>
      <c r="M24" s="156"/>
      <c r="N24" s="156"/>
      <c r="O24" s="156"/>
      <c r="P24" s="156"/>
      <c r="Q24" s="156"/>
      <c r="R24" s="146"/>
      <c r="S24" s="146"/>
      <c r="T24" s="146"/>
      <c r="U24" s="156">
        <f t="shared" si="5"/>
        <v>141282.59</v>
      </c>
      <c r="V24" s="165">
        <f t="shared" si="6"/>
        <v>9717.410000000003</v>
      </c>
      <c r="W24" s="156">
        <f t="shared" si="3"/>
        <v>178717.41</v>
      </c>
    </row>
    <row r="25" spans="1:23" ht="12.75">
      <c r="A25" s="146"/>
      <c r="B25" s="146"/>
      <c r="C25" s="146"/>
      <c r="D25" s="146" t="s">
        <v>20</v>
      </c>
      <c r="E25" s="146" t="s">
        <v>108</v>
      </c>
      <c r="F25" s="151">
        <v>18000</v>
      </c>
      <c r="G25" s="151">
        <v>18000</v>
      </c>
      <c r="H25" s="151">
        <f t="shared" si="4"/>
        <v>0</v>
      </c>
      <c r="I25" s="157">
        <v>166.32</v>
      </c>
      <c r="J25" s="156">
        <v>807.9</v>
      </c>
      <c r="K25" s="110">
        <v>1500.99</v>
      </c>
      <c r="L25" s="195"/>
      <c r="M25" s="156"/>
      <c r="N25" s="156"/>
      <c r="O25" s="156"/>
      <c r="P25" s="156"/>
      <c r="Q25" s="156"/>
      <c r="R25" s="146"/>
      <c r="S25" s="146"/>
      <c r="T25" s="146"/>
      <c r="U25" s="156">
        <f t="shared" si="5"/>
        <v>2475.21</v>
      </c>
      <c r="V25" s="156">
        <f t="shared" si="6"/>
        <v>15524.79</v>
      </c>
      <c r="W25" s="156">
        <f t="shared" si="3"/>
        <v>15524.79</v>
      </c>
    </row>
    <row r="26" spans="1:23" ht="12.75">
      <c r="A26" s="146"/>
      <c r="B26" s="146"/>
      <c r="C26" s="146"/>
      <c r="D26" s="146" t="s">
        <v>21</v>
      </c>
      <c r="E26" s="146" t="s">
        <v>78</v>
      </c>
      <c r="F26" s="201">
        <v>7000</v>
      </c>
      <c r="G26" s="201">
        <v>7500</v>
      </c>
      <c r="H26" s="151">
        <f t="shared" si="4"/>
        <v>-500</v>
      </c>
      <c r="I26" s="157">
        <v>399</v>
      </c>
      <c r="J26" s="156">
        <v>6696.75</v>
      </c>
      <c r="K26" s="110"/>
      <c r="L26" s="195"/>
      <c r="M26" s="156"/>
      <c r="N26" s="156"/>
      <c r="O26" s="156"/>
      <c r="P26" s="156"/>
      <c r="Q26" s="156"/>
      <c r="R26" s="146"/>
      <c r="S26" s="146"/>
      <c r="T26" s="146"/>
      <c r="U26" s="156">
        <f t="shared" si="5"/>
        <v>7095.75</v>
      </c>
      <c r="V26" s="165">
        <f t="shared" si="6"/>
        <v>-95.75</v>
      </c>
      <c r="W26" s="156">
        <f t="shared" si="3"/>
        <v>404.25</v>
      </c>
    </row>
    <row r="27" spans="1:23" ht="12.75">
      <c r="A27" s="146"/>
      <c r="B27" s="146"/>
      <c r="C27" s="146"/>
      <c r="D27" s="161">
        <v>3227</v>
      </c>
      <c r="E27" s="146" t="s">
        <v>103</v>
      </c>
      <c r="F27" s="201">
        <v>0</v>
      </c>
      <c r="G27" s="201">
        <v>2835.44</v>
      </c>
      <c r="H27" s="151">
        <f t="shared" si="4"/>
        <v>-2835.44</v>
      </c>
      <c r="I27" s="157"/>
      <c r="J27" s="156"/>
      <c r="K27" s="110">
        <v>2835.44</v>
      </c>
      <c r="L27" s="195"/>
      <c r="M27" s="156"/>
      <c r="N27" s="156"/>
      <c r="O27" s="156"/>
      <c r="P27" s="156"/>
      <c r="Q27" s="156"/>
      <c r="R27" s="146"/>
      <c r="S27" s="146"/>
      <c r="T27" s="146"/>
      <c r="U27" s="156">
        <f t="shared" si="5"/>
        <v>2835.44</v>
      </c>
      <c r="V27" s="165">
        <f t="shared" si="6"/>
        <v>-2835.44</v>
      </c>
      <c r="W27" s="156">
        <f t="shared" si="3"/>
        <v>0</v>
      </c>
    </row>
    <row r="28" spans="1:23" ht="12.75">
      <c r="A28" s="146"/>
      <c r="B28" s="146"/>
      <c r="C28" s="146"/>
      <c r="D28" s="146" t="s">
        <v>24</v>
      </c>
      <c r="E28" s="146" t="s">
        <v>100</v>
      </c>
      <c r="F28" s="151">
        <v>62000</v>
      </c>
      <c r="G28" s="151">
        <v>62000</v>
      </c>
      <c r="H28" s="151">
        <f t="shared" si="4"/>
        <v>0</v>
      </c>
      <c r="I28" s="157">
        <v>3206.71</v>
      </c>
      <c r="J28" s="156">
        <v>3601.47</v>
      </c>
      <c r="K28" s="110">
        <v>2846.76</v>
      </c>
      <c r="L28" s="195"/>
      <c r="M28" s="156"/>
      <c r="N28" s="156"/>
      <c r="O28" s="156"/>
      <c r="P28" s="156"/>
      <c r="Q28" s="156"/>
      <c r="R28" s="146"/>
      <c r="S28" s="146"/>
      <c r="T28" s="146"/>
      <c r="U28" s="156">
        <f t="shared" si="5"/>
        <v>9654.94</v>
      </c>
      <c r="V28" s="156">
        <f t="shared" si="6"/>
        <v>52345.06</v>
      </c>
      <c r="W28" s="156">
        <f t="shared" si="3"/>
        <v>52345.06</v>
      </c>
    </row>
    <row r="29" spans="1:23" ht="12.75">
      <c r="A29" s="146"/>
      <c r="B29" s="146"/>
      <c r="C29" s="146"/>
      <c r="D29" s="146" t="s">
        <v>25</v>
      </c>
      <c r="E29" s="146" t="s">
        <v>104</v>
      </c>
      <c r="F29" s="151">
        <v>85000</v>
      </c>
      <c r="G29" s="151">
        <v>85000</v>
      </c>
      <c r="H29" s="151">
        <f t="shared" si="4"/>
        <v>0</v>
      </c>
      <c r="I29" s="146"/>
      <c r="J29" s="156">
        <v>4305</v>
      </c>
      <c r="K29" s="110">
        <v>4312.5</v>
      </c>
      <c r="L29" s="195"/>
      <c r="M29" s="156"/>
      <c r="N29" s="156"/>
      <c r="O29" s="156"/>
      <c r="P29" s="156"/>
      <c r="Q29" s="156"/>
      <c r="R29" s="146"/>
      <c r="S29" s="146"/>
      <c r="T29" s="146"/>
      <c r="U29" s="156">
        <f t="shared" si="5"/>
        <v>8617.5</v>
      </c>
      <c r="V29" s="156">
        <f t="shared" si="6"/>
        <v>76382.5</v>
      </c>
      <c r="W29" s="156">
        <f t="shared" si="3"/>
        <v>76382.5</v>
      </c>
    </row>
    <row r="30" spans="1:23" ht="12.75">
      <c r="A30" s="146"/>
      <c r="B30" s="146"/>
      <c r="C30" s="146"/>
      <c r="D30" s="146" t="s">
        <v>26</v>
      </c>
      <c r="E30" s="146" t="s">
        <v>98</v>
      </c>
      <c r="F30" s="151">
        <v>9500</v>
      </c>
      <c r="G30" s="151">
        <v>9500</v>
      </c>
      <c r="H30" s="151">
        <f t="shared" si="4"/>
        <v>0</v>
      </c>
      <c r="I30" s="157">
        <v>3105</v>
      </c>
      <c r="J30" s="156">
        <v>4871.88</v>
      </c>
      <c r="K30" s="110">
        <v>1365.63</v>
      </c>
      <c r="L30" s="195"/>
      <c r="M30" s="156"/>
      <c r="N30" s="156"/>
      <c r="O30" s="156"/>
      <c r="P30" s="156"/>
      <c r="Q30" s="156"/>
      <c r="R30" s="146"/>
      <c r="S30" s="146"/>
      <c r="T30" s="146"/>
      <c r="U30" s="156">
        <f t="shared" si="5"/>
        <v>9342.51</v>
      </c>
      <c r="V30" s="165">
        <f t="shared" si="6"/>
        <v>157.48999999999978</v>
      </c>
      <c r="W30" s="156">
        <f t="shared" si="3"/>
        <v>157.48999999999978</v>
      </c>
    </row>
    <row r="31" spans="1:23" ht="12.75">
      <c r="A31" s="146"/>
      <c r="B31" s="146"/>
      <c r="C31" s="146"/>
      <c r="D31" s="146" t="s">
        <v>27</v>
      </c>
      <c r="E31" s="146" t="s">
        <v>62</v>
      </c>
      <c r="F31" s="151">
        <v>61500</v>
      </c>
      <c r="G31" s="151">
        <v>61500</v>
      </c>
      <c r="H31" s="151">
        <f t="shared" si="4"/>
        <v>0</v>
      </c>
      <c r="I31" s="157">
        <v>984.46</v>
      </c>
      <c r="J31" s="156">
        <v>4050.73</v>
      </c>
      <c r="K31" s="110">
        <v>1460.82</v>
      </c>
      <c r="L31" s="195"/>
      <c r="M31" s="156"/>
      <c r="N31" s="156"/>
      <c r="O31" s="156"/>
      <c r="P31" s="156"/>
      <c r="Q31" s="156"/>
      <c r="R31" s="146"/>
      <c r="S31" s="146"/>
      <c r="T31" s="146"/>
      <c r="U31" s="156">
        <f t="shared" si="5"/>
        <v>6496.01</v>
      </c>
      <c r="V31" s="156">
        <f t="shared" si="6"/>
        <v>55003.99</v>
      </c>
      <c r="W31" s="156">
        <f t="shared" si="3"/>
        <v>55003.99</v>
      </c>
    </row>
    <row r="32" spans="1:23" ht="12.75">
      <c r="A32" s="146"/>
      <c r="B32" s="146"/>
      <c r="C32" s="146"/>
      <c r="D32" s="146" t="s">
        <v>28</v>
      </c>
      <c r="E32" s="146" t="s">
        <v>75</v>
      </c>
      <c r="F32" s="151">
        <v>41500</v>
      </c>
      <c r="G32" s="151">
        <v>745000</v>
      </c>
      <c r="H32" s="151">
        <f t="shared" si="4"/>
        <v>-703500</v>
      </c>
      <c r="I32" s="157">
        <v>1440.87</v>
      </c>
      <c r="J32" s="156">
        <v>2690.67</v>
      </c>
      <c r="K32" s="110">
        <v>1476.8</v>
      </c>
      <c r="L32" s="195"/>
      <c r="M32" s="156"/>
      <c r="N32" s="156"/>
      <c r="O32" s="156"/>
      <c r="P32" s="156"/>
      <c r="Q32" s="156"/>
      <c r="R32" s="146"/>
      <c r="S32" s="146"/>
      <c r="T32" s="146"/>
      <c r="U32" s="156">
        <f t="shared" si="5"/>
        <v>5608.34</v>
      </c>
      <c r="V32" s="156">
        <f t="shared" si="6"/>
        <v>35891.66</v>
      </c>
      <c r="W32" s="156">
        <f t="shared" si="3"/>
        <v>739391.66</v>
      </c>
    </row>
    <row r="33" spans="1:23" ht="12.75">
      <c r="A33" s="146"/>
      <c r="B33" s="146"/>
      <c r="C33" s="146"/>
      <c r="D33" s="146" t="s">
        <v>29</v>
      </c>
      <c r="E33" s="146" t="s">
        <v>84</v>
      </c>
      <c r="F33" s="201">
        <v>13500</v>
      </c>
      <c r="G33" s="201">
        <v>18180</v>
      </c>
      <c r="H33" s="151">
        <f t="shared" si="4"/>
        <v>-4680</v>
      </c>
      <c r="I33" s="165">
        <v>640</v>
      </c>
      <c r="J33" s="165">
        <v>2080</v>
      </c>
      <c r="K33" s="202">
        <v>960</v>
      </c>
      <c r="L33" s="203"/>
      <c r="M33" s="165"/>
      <c r="N33" s="165"/>
      <c r="O33" s="165"/>
      <c r="P33" s="165"/>
      <c r="Q33" s="165"/>
      <c r="R33" s="204"/>
      <c r="S33" s="204"/>
      <c r="T33" s="204"/>
      <c r="U33" s="165">
        <f t="shared" si="5"/>
        <v>3680</v>
      </c>
      <c r="V33" s="165">
        <f t="shared" si="6"/>
        <v>9820</v>
      </c>
      <c r="W33" s="156">
        <f t="shared" si="3"/>
        <v>14500</v>
      </c>
    </row>
    <row r="34" spans="1:24" ht="12.75">
      <c r="A34" s="146"/>
      <c r="B34" s="146"/>
      <c r="C34" s="146"/>
      <c r="D34" s="146" t="s">
        <v>30</v>
      </c>
      <c r="E34" s="146" t="s">
        <v>81</v>
      </c>
      <c r="F34" s="151">
        <v>120000</v>
      </c>
      <c r="G34" s="151">
        <v>120000</v>
      </c>
      <c r="H34" s="151">
        <f t="shared" si="4"/>
        <v>0</v>
      </c>
      <c r="I34" s="157">
        <v>2562.5</v>
      </c>
      <c r="J34" s="156">
        <v>15525.74</v>
      </c>
      <c r="K34" s="110">
        <v>44243.75</v>
      </c>
      <c r="L34" s="195"/>
      <c r="M34" s="156"/>
      <c r="N34" s="156"/>
      <c r="O34" s="156"/>
      <c r="P34" s="156"/>
      <c r="Q34" s="156"/>
      <c r="R34" s="146"/>
      <c r="S34" s="146"/>
      <c r="T34" s="146"/>
      <c r="U34" s="156">
        <f t="shared" si="5"/>
        <v>62331.99</v>
      </c>
      <c r="V34" s="165">
        <f t="shared" si="6"/>
        <v>57668.01</v>
      </c>
      <c r="W34" s="156">
        <f t="shared" si="3"/>
        <v>57668.01</v>
      </c>
      <c r="X34" s="198"/>
    </row>
    <row r="35" spans="1:23" ht="12.75">
      <c r="A35" s="146"/>
      <c r="B35" s="146"/>
      <c r="C35" s="146"/>
      <c r="D35" s="146" t="s">
        <v>31</v>
      </c>
      <c r="E35" s="146" t="s">
        <v>83</v>
      </c>
      <c r="F35" s="151">
        <v>101000</v>
      </c>
      <c r="G35" s="151">
        <v>101000</v>
      </c>
      <c r="H35" s="151">
        <f t="shared" si="4"/>
        <v>0</v>
      </c>
      <c r="I35" s="157">
        <v>2587.5</v>
      </c>
      <c r="J35" s="156">
        <v>5266.25</v>
      </c>
      <c r="K35" s="110">
        <v>5280</v>
      </c>
      <c r="L35" s="195"/>
      <c r="M35" s="156"/>
      <c r="N35" s="156"/>
      <c r="O35" s="156"/>
      <c r="P35" s="156"/>
      <c r="Q35" s="156"/>
      <c r="R35" s="146"/>
      <c r="S35" s="146"/>
      <c r="T35" s="146"/>
      <c r="U35" s="156">
        <f t="shared" si="5"/>
        <v>13133.75</v>
      </c>
      <c r="V35" s="156">
        <f t="shared" si="6"/>
        <v>87866.25</v>
      </c>
      <c r="W35" s="156">
        <f t="shared" si="3"/>
        <v>87866.25</v>
      </c>
    </row>
    <row r="36" spans="1:23" ht="12.75">
      <c r="A36" s="146"/>
      <c r="B36" s="146"/>
      <c r="C36" s="146"/>
      <c r="D36" s="146" t="s">
        <v>32</v>
      </c>
      <c r="E36" s="146" t="s">
        <v>56</v>
      </c>
      <c r="F36" s="201">
        <v>900000</v>
      </c>
      <c r="G36" s="201">
        <f>900000+200000</f>
        <v>1100000</v>
      </c>
      <c r="H36" s="151">
        <f>+F36-G36</f>
        <v>-200000</v>
      </c>
      <c r="I36" s="157">
        <v>588.81</v>
      </c>
      <c r="J36" s="156">
        <v>66838.81</v>
      </c>
      <c r="K36" s="110">
        <v>60627.81</v>
      </c>
      <c r="L36" s="195"/>
      <c r="M36" s="156"/>
      <c r="N36" s="156"/>
      <c r="O36" s="156"/>
      <c r="P36" s="156"/>
      <c r="Q36" s="156"/>
      <c r="R36" s="146"/>
      <c r="S36" s="146"/>
      <c r="T36" s="146"/>
      <c r="U36" s="156">
        <f t="shared" si="5"/>
        <v>128055.43</v>
      </c>
      <c r="V36" s="156">
        <f t="shared" si="6"/>
        <v>771944.5700000001</v>
      </c>
      <c r="W36" s="156">
        <f t="shared" si="3"/>
        <v>971944.5700000001</v>
      </c>
    </row>
    <row r="37" spans="1:23" ht="12.75">
      <c r="A37" s="146"/>
      <c r="B37" s="146"/>
      <c r="C37" s="146"/>
      <c r="D37" s="146" t="s">
        <v>35</v>
      </c>
      <c r="E37" s="146" t="s">
        <v>64</v>
      </c>
      <c r="F37" s="151">
        <v>42000</v>
      </c>
      <c r="G37" s="151">
        <v>42000</v>
      </c>
      <c r="H37" s="151">
        <f t="shared" si="4"/>
        <v>0</v>
      </c>
      <c r="I37" s="146"/>
      <c r="J37" s="156">
        <v>3864</v>
      </c>
      <c r="K37" s="110">
        <v>2441.24</v>
      </c>
      <c r="L37" s="195"/>
      <c r="M37" s="156"/>
      <c r="N37" s="156"/>
      <c r="O37" s="156"/>
      <c r="P37" s="156"/>
      <c r="Q37" s="156"/>
      <c r="R37" s="146"/>
      <c r="S37" s="146"/>
      <c r="T37" s="146"/>
      <c r="U37" s="156">
        <f t="shared" si="5"/>
        <v>6305.24</v>
      </c>
      <c r="V37" s="156">
        <f t="shared" si="6"/>
        <v>35694.76</v>
      </c>
      <c r="W37" s="156">
        <f t="shared" si="3"/>
        <v>35694.76</v>
      </c>
    </row>
    <row r="38" spans="1:23" ht="12.75">
      <c r="A38" s="146"/>
      <c r="B38" s="146"/>
      <c r="C38" s="146"/>
      <c r="D38" s="146" t="s">
        <v>37</v>
      </c>
      <c r="E38" s="146" t="s">
        <v>85</v>
      </c>
      <c r="F38" s="151">
        <v>5000</v>
      </c>
      <c r="G38" s="151">
        <v>5000</v>
      </c>
      <c r="H38" s="151">
        <f t="shared" si="4"/>
        <v>0</v>
      </c>
      <c r="I38" s="157">
        <v>3500</v>
      </c>
      <c r="J38" s="156"/>
      <c r="K38" s="110"/>
      <c r="L38" s="195"/>
      <c r="M38" s="156"/>
      <c r="N38" s="156"/>
      <c r="O38" s="156"/>
      <c r="P38" s="156"/>
      <c r="Q38" s="156"/>
      <c r="R38" s="146"/>
      <c r="S38" s="146"/>
      <c r="T38" s="146"/>
      <c r="U38" s="156">
        <f t="shared" si="5"/>
        <v>3500</v>
      </c>
      <c r="V38" s="156">
        <f t="shared" si="6"/>
        <v>1500</v>
      </c>
      <c r="W38" s="156">
        <f t="shared" si="3"/>
        <v>1500</v>
      </c>
    </row>
    <row r="39" spans="1:23" ht="12.75">
      <c r="A39" s="146"/>
      <c r="B39" s="146"/>
      <c r="C39" s="146"/>
      <c r="D39" s="146" t="s">
        <v>38</v>
      </c>
      <c r="E39" s="146" t="s">
        <v>68</v>
      </c>
      <c r="F39" s="151">
        <v>11500</v>
      </c>
      <c r="G39" s="151">
        <v>11500</v>
      </c>
      <c r="H39" s="151">
        <f t="shared" si="4"/>
        <v>0</v>
      </c>
      <c r="I39" s="157">
        <v>1221.88</v>
      </c>
      <c r="J39" s="156">
        <v>1000.92</v>
      </c>
      <c r="K39" s="110">
        <v>1126.65</v>
      </c>
      <c r="L39" s="195"/>
      <c r="M39" s="156"/>
      <c r="N39" s="156"/>
      <c r="O39" s="156"/>
      <c r="P39" s="156"/>
      <c r="Q39" s="156"/>
      <c r="R39" s="146"/>
      <c r="S39" s="146"/>
      <c r="T39" s="146"/>
      <c r="U39" s="156">
        <f t="shared" si="5"/>
        <v>3349.4500000000003</v>
      </c>
      <c r="V39" s="156">
        <f t="shared" si="6"/>
        <v>8150.549999999999</v>
      </c>
      <c r="W39" s="156">
        <f t="shared" si="3"/>
        <v>8150.549999999999</v>
      </c>
    </row>
    <row r="40" spans="1:23" ht="12.75">
      <c r="A40" s="146"/>
      <c r="B40" s="146"/>
      <c r="C40" s="146"/>
      <c r="D40" s="146">
        <v>3296</v>
      </c>
      <c r="E40" s="146" t="s">
        <v>217</v>
      </c>
      <c r="F40" s="151">
        <v>0</v>
      </c>
      <c r="G40" s="151">
        <v>20000</v>
      </c>
      <c r="H40" s="151">
        <f t="shared" si="4"/>
        <v>-20000</v>
      </c>
      <c r="I40" s="157"/>
      <c r="J40" s="156"/>
      <c r="K40" s="110"/>
      <c r="L40" s="195"/>
      <c r="M40" s="156"/>
      <c r="N40" s="156"/>
      <c r="O40" s="156"/>
      <c r="P40" s="156"/>
      <c r="Q40" s="156"/>
      <c r="R40" s="146"/>
      <c r="S40" s="146"/>
      <c r="T40" s="146"/>
      <c r="U40" s="156"/>
      <c r="V40" s="156">
        <f>+F40-U40</f>
        <v>0</v>
      </c>
      <c r="W40" s="156">
        <f>+G40-U40</f>
        <v>20000</v>
      </c>
    </row>
    <row r="41" spans="1:23" ht="12.75">
      <c r="A41" s="146"/>
      <c r="B41" s="146"/>
      <c r="C41" s="146"/>
      <c r="D41" s="146" t="s">
        <v>40</v>
      </c>
      <c r="E41" s="146" t="s">
        <v>88</v>
      </c>
      <c r="F41" s="151">
        <v>1000</v>
      </c>
      <c r="G41" s="151">
        <v>1000</v>
      </c>
      <c r="H41" s="151">
        <f t="shared" si="4"/>
        <v>0</v>
      </c>
      <c r="I41" s="146"/>
      <c r="J41" s="156"/>
      <c r="K41" s="110"/>
      <c r="L41" s="195"/>
      <c r="M41" s="156"/>
      <c r="N41" s="156"/>
      <c r="O41" s="156"/>
      <c r="P41" s="156"/>
      <c r="Q41" s="156"/>
      <c r="R41" s="146"/>
      <c r="S41" s="146"/>
      <c r="T41" s="146"/>
      <c r="U41" s="156">
        <f t="shared" si="5"/>
        <v>0</v>
      </c>
      <c r="V41" s="156">
        <f t="shared" si="6"/>
        <v>1000</v>
      </c>
      <c r="W41" s="156">
        <f t="shared" si="3"/>
        <v>1000</v>
      </c>
    </row>
    <row r="42" spans="1:23" ht="12.75">
      <c r="A42" s="146"/>
      <c r="B42" s="146"/>
      <c r="C42" s="146"/>
      <c r="D42" s="146" t="s">
        <v>42</v>
      </c>
      <c r="E42" s="146" t="s">
        <v>93</v>
      </c>
      <c r="F42" s="151">
        <v>5000</v>
      </c>
      <c r="G42" s="151">
        <v>5500</v>
      </c>
      <c r="H42" s="151">
        <f t="shared" si="4"/>
        <v>-500</v>
      </c>
      <c r="I42" s="151">
        <v>646.17</v>
      </c>
      <c r="J42" s="146">
        <v>651.17</v>
      </c>
      <c r="K42" s="20">
        <v>551.44</v>
      </c>
      <c r="L42" s="153"/>
      <c r="M42" s="146"/>
      <c r="N42" s="146"/>
      <c r="O42" s="146"/>
      <c r="P42" s="146"/>
      <c r="Q42" s="146"/>
      <c r="R42" s="146"/>
      <c r="S42" s="146"/>
      <c r="T42" s="146"/>
      <c r="U42" s="156">
        <f t="shared" si="5"/>
        <v>1848.78</v>
      </c>
      <c r="V42" s="156">
        <f t="shared" si="6"/>
        <v>3151.2200000000003</v>
      </c>
      <c r="W42" s="156">
        <f t="shared" si="3"/>
        <v>3651.2200000000003</v>
      </c>
    </row>
    <row r="43" spans="1:23" ht="12.75">
      <c r="A43" s="146"/>
      <c r="B43" s="146"/>
      <c r="C43" s="146">
        <v>3</v>
      </c>
      <c r="D43" s="146">
        <v>3433</v>
      </c>
      <c r="E43" s="146" t="s">
        <v>216</v>
      </c>
      <c r="F43" s="151">
        <v>0</v>
      </c>
      <c r="G43" s="151">
        <v>25000</v>
      </c>
      <c r="H43" s="151">
        <f t="shared" si="4"/>
        <v>-25000</v>
      </c>
      <c r="I43" s="146"/>
      <c r="J43" s="146"/>
      <c r="K43" s="110"/>
      <c r="L43" s="153"/>
      <c r="M43" s="146"/>
      <c r="N43" s="146"/>
      <c r="O43" s="146"/>
      <c r="P43" s="146"/>
      <c r="Q43" s="146"/>
      <c r="R43" s="146"/>
      <c r="S43" s="146"/>
      <c r="T43" s="146"/>
      <c r="U43" s="156">
        <f t="shared" si="5"/>
        <v>0</v>
      </c>
      <c r="V43" s="156">
        <f t="shared" si="6"/>
        <v>0</v>
      </c>
      <c r="W43" s="156">
        <f t="shared" si="3"/>
        <v>25000</v>
      </c>
    </row>
    <row r="44" spans="1:23" ht="19.5" customHeight="1">
      <c r="A44" s="146"/>
      <c r="B44" s="146"/>
      <c r="C44" s="146">
        <v>2</v>
      </c>
      <c r="D44" s="146"/>
      <c r="E44" s="146"/>
      <c r="F44" s="154"/>
      <c r="G44" s="154"/>
      <c r="H44" s="154"/>
      <c r="I44" s="146"/>
      <c r="J44" s="146"/>
      <c r="K44" s="158"/>
      <c r="L44" s="153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</row>
    <row r="45" spans="1:23" ht="23.25" customHeight="1">
      <c r="A45" s="146"/>
      <c r="B45" s="149" t="s">
        <v>121</v>
      </c>
      <c r="C45" s="149" t="s">
        <v>139</v>
      </c>
      <c r="D45" s="149"/>
      <c r="E45" s="149"/>
      <c r="F45" s="150">
        <f aca="true" t="shared" si="7" ref="F45:W45">SUBTOTAL(9,F46:F65)</f>
        <v>1756500</v>
      </c>
      <c r="G45" s="150">
        <f t="shared" si="7"/>
        <v>1919937.52</v>
      </c>
      <c r="H45" s="150">
        <f t="shared" si="7"/>
        <v>-163437.52000000002</v>
      </c>
      <c r="I45" s="150">
        <f t="shared" si="7"/>
        <v>27110.84</v>
      </c>
      <c r="J45" s="150">
        <f t="shared" si="7"/>
        <v>85264.03000000001</v>
      </c>
      <c r="K45" s="150">
        <f t="shared" si="7"/>
        <v>7128.75</v>
      </c>
      <c r="L45" s="150">
        <f t="shared" si="7"/>
        <v>0</v>
      </c>
      <c r="M45" s="150">
        <f t="shared" si="7"/>
        <v>0</v>
      </c>
      <c r="N45" s="150">
        <f t="shared" si="7"/>
        <v>0</v>
      </c>
      <c r="O45" s="150">
        <f t="shared" si="7"/>
        <v>0</v>
      </c>
      <c r="P45" s="150">
        <f t="shared" si="7"/>
        <v>0</v>
      </c>
      <c r="Q45" s="150">
        <f t="shared" si="7"/>
        <v>0</v>
      </c>
      <c r="R45" s="150">
        <f t="shared" si="7"/>
        <v>0</v>
      </c>
      <c r="S45" s="150">
        <f t="shared" si="7"/>
        <v>0</v>
      </c>
      <c r="T45" s="150">
        <f t="shared" si="7"/>
        <v>0</v>
      </c>
      <c r="U45" s="150">
        <f t="shared" si="7"/>
        <v>119503.62000000001</v>
      </c>
      <c r="V45" s="150">
        <f t="shared" si="7"/>
        <v>1636996.38</v>
      </c>
      <c r="W45" s="150">
        <f t="shared" si="7"/>
        <v>1800433.9000000001</v>
      </c>
    </row>
    <row r="46" spans="1:23" ht="30" customHeight="1" hidden="1">
      <c r="A46" s="146"/>
      <c r="B46" s="149"/>
      <c r="C46" s="149"/>
      <c r="D46" s="149"/>
      <c r="E46" s="149"/>
      <c r="F46" s="150"/>
      <c r="G46" s="150"/>
      <c r="H46" s="150"/>
      <c r="I46" s="146"/>
      <c r="J46" s="146"/>
      <c r="K46" s="147"/>
      <c r="L46" s="148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</row>
    <row r="47" spans="1:23" ht="12.75">
      <c r="A47" s="146"/>
      <c r="B47" s="146"/>
      <c r="C47" s="137" t="s">
        <v>1</v>
      </c>
      <c r="D47" s="137" t="s">
        <v>76</v>
      </c>
      <c r="E47" s="137"/>
      <c r="F47" s="138">
        <f aca="true" t="shared" si="8" ref="F47:W47">SUBTOTAL(9,F48:F64)</f>
        <v>1756500</v>
      </c>
      <c r="G47" s="138">
        <f t="shared" si="8"/>
        <v>1919937.52</v>
      </c>
      <c r="H47" s="138">
        <f t="shared" si="8"/>
        <v>-163437.52000000002</v>
      </c>
      <c r="I47" s="138">
        <f t="shared" si="8"/>
        <v>27110.84</v>
      </c>
      <c r="J47" s="138">
        <f t="shared" si="8"/>
        <v>85264.03000000001</v>
      </c>
      <c r="K47" s="138">
        <f t="shared" si="8"/>
        <v>7128.75</v>
      </c>
      <c r="L47" s="138">
        <f t="shared" si="8"/>
        <v>0</v>
      </c>
      <c r="M47" s="138">
        <f t="shared" si="8"/>
        <v>0</v>
      </c>
      <c r="N47" s="138">
        <f t="shared" si="8"/>
        <v>0</v>
      </c>
      <c r="O47" s="138">
        <f t="shared" si="8"/>
        <v>0</v>
      </c>
      <c r="P47" s="138">
        <f t="shared" si="8"/>
        <v>0</v>
      </c>
      <c r="Q47" s="138">
        <f t="shared" si="8"/>
        <v>0</v>
      </c>
      <c r="R47" s="138">
        <f t="shared" si="8"/>
        <v>0</v>
      </c>
      <c r="S47" s="138">
        <f t="shared" si="8"/>
        <v>0</v>
      </c>
      <c r="T47" s="138">
        <f t="shared" si="8"/>
        <v>0</v>
      </c>
      <c r="U47" s="138">
        <f t="shared" si="8"/>
        <v>119503.62000000001</v>
      </c>
      <c r="V47" s="138">
        <f t="shared" si="8"/>
        <v>1636996.38</v>
      </c>
      <c r="W47" s="138">
        <f t="shared" si="8"/>
        <v>1800433.9000000001</v>
      </c>
    </row>
    <row r="48" spans="1:23" ht="12.75" hidden="1">
      <c r="A48" s="146"/>
      <c r="B48" s="146"/>
      <c r="C48" s="146"/>
      <c r="D48" s="146"/>
      <c r="E48" s="146"/>
      <c r="F48" s="151"/>
      <c r="G48" s="151"/>
      <c r="H48" s="151"/>
      <c r="I48" s="146"/>
      <c r="J48" s="146"/>
      <c r="K48" s="152"/>
      <c r="L48" s="153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</row>
    <row r="49" spans="1:24" ht="12.75">
      <c r="A49" s="146"/>
      <c r="B49" s="146"/>
      <c r="C49" s="146"/>
      <c r="D49" s="146" t="s">
        <v>17</v>
      </c>
      <c r="E49" s="146" t="s">
        <v>95</v>
      </c>
      <c r="F49" s="151">
        <v>124500</v>
      </c>
      <c r="G49" s="151">
        <v>124500</v>
      </c>
      <c r="H49" s="151">
        <f>+F49-G49</f>
        <v>0</v>
      </c>
      <c r="I49" s="146"/>
      <c r="J49" s="156">
        <v>220</v>
      </c>
      <c r="K49" s="199">
        <v>3985</v>
      </c>
      <c r="L49" s="195"/>
      <c r="M49" s="156"/>
      <c r="N49" s="156"/>
      <c r="O49" s="156"/>
      <c r="P49" s="156"/>
      <c r="Q49" s="156"/>
      <c r="R49" s="156"/>
      <c r="S49" s="156"/>
      <c r="T49" s="156"/>
      <c r="U49" s="156">
        <f>+I49+J49+K49+L49+M49+N49+O49+P49+Q49+R49+S49+T49</f>
        <v>4205</v>
      </c>
      <c r="V49" s="156">
        <f>+F49-U49</f>
        <v>120295</v>
      </c>
      <c r="W49" s="156">
        <f aca="true" t="shared" si="9" ref="W49:W65">+G49-U49</f>
        <v>120295</v>
      </c>
      <c r="X49" s="208">
        <f>+G49+G50+G51+G52+G53+G54+G55+G56+G57+G58+G59+G60</f>
        <v>1510104.52</v>
      </c>
    </row>
    <row r="50" spans="1:23" ht="12.75">
      <c r="A50" s="146"/>
      <c r="B50" s="146"/>
      <c r="C50" s="146"/>
      <c r="D50" s="146" t="s">
        <v>18</v>
      </c>
      <c r="E50" s="146" t="s">
        <v>70</v>
      </c>
      <c r="F50" s="151">
        <v>40000</v>
      </c>
      <c r="G50" s="151">
        <v>40000</v>
      </c>
      <c r="H50" s="151">
        <f aca="true" t="shared" si="10" ref="H50:H64">+F50-G50</f>
        <v>0</v>
      </c>
      <c r="I50" s="146"/>
      <c r="J50" s="156"/>
      <c r="K50" s="195"/>
      <c r="L50" s="195"/>
      <c r="M50" s="156"/>
      <c r="N50" s="156"/>
      <c r="O50" s="156"/>
      <c r="P50" s="156"/>
      <c r="Q50" s="156"/>
      <c r="R50" s="156"/>
      <c r="S50" s="156"/>
      <c r="T50" s="156"/>
      <c r="U50" s="156">
        <f aca="true" t="shared" si="11" ref="U50:U63">+I50+J50+K50+L50+M50+N50+O50+P50+Q50+R50+S50+T50</f>
        <v>0</v>
      </c>
      <c r="V50" s="156">
        <f aca="true" t="shared" si="12" ref="V50:V65">+F50-U50</f>
        <v>40000</v>
      </c>
      <c r="W50" s="156">
        <f t="shared" si="9"/>
        <v>40000</v>
      </c>
    </row>
    <row r="51" spans="1:23" ht="12.75">
      <c r="A51" s="146"/>
      <c r="B51" s="146"/>
      <c r="C51" s="146"/>
      <c r="D51" s="146">
        <v>3224</v>
      </c>
      <c r="E51" s="146" t="s">
        <v>212</v>
      </c>
      <c r="F51" s="151">
        <v>0</v>
      </c>
      <c r="G51" s="201">
        <f>200000+30000+50000+21999</f>
        <v>301999</v>
      </c>
      <c r="H51" s="151">
        <f t="shared" si="10"/>
        <v>-301999</v>
      </c>
      <c r="I51" s="146"/>
      <c r="J51" s="156"/>
      <c r="K51" s="195"/>
      <c r="L51" s="195"/>
      <c r="M51" s="156"/>
      <c r="N51" s="156"/>
      <c r="O51" s="156"/>
      <c r="P51" s="156"/>
      <c r="Q51" s="156"/>
      <c r="R51" s="156"/>
      <c r="S51" s="156"/>
      <c r="T51" s="156"/>
      <c r="U51" s="156"/>
      <c r="V51" s="156">
        <f t="shared" si="12"/>
        <v>0</v>
      </c>
      <c r="W51" s="156">
        <f t="shared" si="9"/>
        <v>301999</v>
      </c>
    </row>
    <row r="52" spans="1:23" ht="12.75">
      <c r="A52" s="146"/>
      <c r="B52" s="146"/>
      <c r="C52" s="146"/>
      <c r="D52" s="146" t="s">
        <v>21</v>
      </c>
      <c r="E52" s="146" t="s">
        <v>78</v>
      </c>
      <c r="F52" s="151">
        <v>12105.52</v>
      </c>
      <c r="G52" s="151">
        <v>12105.52</v>
      </c>
      <c r="H52" s="151">
        <f t="shared" si="10"/>
        <v>0</v>
      </c>
      <c r="I52" s="146"/>
      <c r="J52" s="156"/>
      <c r="K52" s="195"/>
      <c r="L52" s="195"/>
      <c r="M52" s="156"/>
      <c r="N52" s="156"/>
      <c r="O52" s="156"/>
      <c r="P52" s="156"/>
      <c r="Q52" s="156"/>
      <c r="R52" s="156"/>
      <c r="S52" s="156"/>
      <c r="T52" s="156"/>
      <c r="U52" s="156">
        <f t="shared" si="11"/>
        <v>0</v>
      </c>
      <c r="V52" s="156">
        <f t="shared" si="12"/>
        <v>12105.52</v>
      </c>
      <c r="W52" s="156">
        <f t="shared" si="9"/>
        <v>12105.52</v>
      </c>
    </row>
    <row r="53" spans="1:23" ht="12.75">
      <c r="A53" s="146"/>
      <c r="B53" s="146"/>
      <c r="C53" s="146"/>
      <c r="D53" s="146" t="s">
        <v>24</v>
      </c>
      <c r="E53" s="146" t="s">
        <v>100</v>
      </c>
      <c r="F53" s="151">
        <v>4000</v>
      </c>
      <c r="G53" s="201">
        <f>4000+200000+100000</f>
        <v>304000</v>
      </c>
      <c r="H53" s="151">
        <f t="shared" si="10"/>
        <v>-300000</v>
      </c>
      <c r="I53" s="146"/>
      <c r="J53" s="156"/>
      <c r="K53" s="195"/>
      <c r="L53" s="195"/>
      <c r="M53" s="156"/>
      <c r="N53" s="156"/>
      <c r="O53" s="156"/>
      <c r="P53" s="156"/>
      <c r="Q53" s="156"/>
      <c r="R53" s="156"/>
      <c r="S53" s="156"/>
      <c r="T53" s="156"/>
      <c r="U53" s="156">
        <f t="shared" si="11"/>
        <v>0</v>
      </c>
      <c r="V53" s="156">
        <f t="shared" si="12"/>
        <v>4000</v>
      </c>
      <c r="W53" s="156">
        <f t="shared" si="9"/>
        <v>304000</v>
      </c>
    </row>
    <row r="54" spans="1:23" ht="12.75">
      <c r="A54" s="146"/>
      <c r="B54" s="146"/>
      <c r="C54" s="146"/>
      <c r="D54" s="146">
        <v>3232</v>
      </c>
      <c r="E54" s="146" t="s">
        <v>213</v>
      </c>
      <c r="F54" s="151">
        <v>0</v>
      </c>
      <c r="G54" s="151"/>
      <c r="H54" s="151">
        <f t="shared" si="10"/>
        <v>0</v>
      </c>
      <c r="I54" s="146"/>
      <c r="J54" s="156"/>
      <c r="K54" s="195"/>
      <c r="L54" s="195"/>
      <c r="M54" s="156"/>
      <c r="N54" s="156"/>
      <c r="O54" s="156"/>
      <c r="P54" s="156"/>
      <c r="Q54" s="156"/>
      <c r="R54" s="156"/>
      <c r="S54" s="156"/>
      <c r="T54" s="156"/>
      <c r="U54" s="156"/>
      <c r="V54" s="156">
        <f t="shared" si="12"/>
        <v>0</v>
      </c>
      <c r="W54" s="156">
        <f t="shared" si="9"/>
        <v>0</v>
      </c>
    </row>
    <row r="55" spans="1:23" ht="12.75">
      <c r="A55" s="146"/>
      <c r="B55" s="146"/>
      <c r="C55" s="146"/>
      <c r="D55" s="146" t="s">
        <v>26</v>
      </c>
      <c r="E55" s="146" t="s">
        <v>98</v>
      </c>
      <c r="F55" s="151">
        <v>30000</v>
      </c>
      <c r="G55" s="151">
        <v>30000</v>
      </c>
      <c r="H55" s="151">
        <f t="shared" si="10"/>
        <v>0</v>
      </c>
      <c r="I55" s="146"/>
      <c r="J55" s="156"/>
      <c r="K55" s="195"/>
      <c r="L55" s="195"/>
      <c r="M55" s="156"/>
      <c r="N55" s="156"/>
      <c r="O55" s="156"/>
      <c r="P55" s="156"/>
      <c r="Q55" s="156"/>
      <c r="R55" s="156"/>
      <c r="S55" s="156"/>
      <c r="T55" s="156"/>
      <c r="U55" s="156">
        <f t="shared" si="11"/>
        <v>0</v>
      </c>
      <c r="V55" s="156">
        <f t="shared" si="12"/>
        <v>30000</v>
      </c>
      <c r="W55" s="156">
        <f t="shared" si="9"/>
        <v>30000</v>
      </c>
    </row>
    <row r="56" spans="1:23" ht="12.75">
      <c r="A56" s="146"/>
      <c r="B56" s="146"/>
      <c r="C56" s="146"/>
      <c r="D56" s="146" t="s">
        <v>30</v>
      </c>
      <c r="E56" s="146" t="s">
        <v>81</v>
      </c>
      <c r="F56" s="151">
        <v>132500</v>
      </c>
      <c r="G56" s="201">
        <f>132500+200000</f>
        <v>332500</v>
      </c>
      <c r="H56" s="151">
        <f t="shared" si="10"/>
        <v>-200000</v>
      </c>
      <c r="I56" s="146"/>
      <c r="J56" s="156"/>
      <c r="K56" s="200">
        <v>2843.75</v>
      </c>
      <c r="L56" s="195"/>
      <c r="M56" s="156"/>
      <c r="N56" s="156"/>
      <c r="O56" s="156"/>
      <c r="P56" s="156"/>
      <c r="Q56" s="156"/>
      <c r="R56" s="156"/>
      <c r="S56" s="156"/>
      <c r="T56" s="156"/>
      <c r="U56" s="156">
        <f t="shared" si="11"/>
        <v>2843.75</v>
      </c>
      <c r="V56" s="156">
        <f t="shared" si="12"/>
        <v>129656.25</v>
      </c>
      <c r="W56" s="156">
        <f t="shared" si="9"/>
        <v>329656.25</v>
      </c>
    </row>
    <row r="57" spans="1:23" ht="12.75">
      <c r="A57" s="146"/>
      <c r="B57" s="146"/>
      <c r="C57" s="146"/>
      <c r="D57" s="146" t="s">
        <v>31</v>
      </c>
      <c r="E57" s="146" t="s">
        <v>83</v>
      </c>
      <c r="F57" s="151">
        <v>12500</v>
      </c>
      <c r="G57" s="151">
        <v>12500</v>
      </c>
      <c r="H57" s="151">
        <f t="shared" si="10"/>
        <v>0</v>
      </c>
      <c r="I57" s="146"/>
      <c r="J57" s="156"/>
      <c r="K57" s="195"/>
      <c r="L57" s="195"/>
      <c r="M57" s="156"/>
      <c r="N57" s="156"/>
      <c r="O57" s="156"/>
      <c r="P57" s="156"/>
      <c r="Q57" s="156"/>
      <c r="R57" s="156"/>
      <c r="S57" s="156"/>
      <c r="T57" s="156"/>
      <c r="U57" s="156">
        <f t="shared" si="11"/>
        <v>0</v>
      </c>
      <c r="V57" s="156">
        <f t="shared" si="12"/>
        <v>12500</v>
      </c>
      <c r="W57" s="156">
        <f t="shared" si="9"/>
        <v>12500</v>
      </c>
    </row>
    <row r="58" spans="1:23" ht="12.75">
      <c r="A58" s="146"/>
      <c r="B58" s="146"/>
      <c r="C58" s="146"/>
      <c r="D58" s="146" t="s">
        <v>32</v>
      </c>
      <c r="E58" s="146" t="s">
        <v>56</v>
      </c>
      <c r="F58" s="151">
        <v>261500</v>
      </c>
      <c r="G58" s="151">
        <v>261500</v>
      </c>
      <c r="H58" s="151">
        <f t="shared" si="10"/>
        <v>0</v>
      </c>
      <c r="I58" s="146"/>
      <c r="J58" s="156">
        <v>16980.629999999997</v>
      </c>
      <c r="K58" s="199">
        <v>300</v>
      </c>
      <c r="L58" s="195"/>
      <c r="M58" s="156"/>
      <c r="N58" s="156"/>
      <c r="O58" s="156"/>
      <c r="P58" s="156"/>
      <c r="Q58" s="156"/>
      <c r="R58" s="156"/>
      <c r="S58" s="156"/>
      <c r="T58" s="156"/>
      <c r="U58" s="156">
        <f t="shared" si="11"/>
        <v>17280.629999999997</v>
      </c>
      <c r="V58" s="156">
        <f t="shared" si="12"/>
        <v>244219.37</v>
      </c>
      <c r="W58" s="156">
        <f t="shared" si="9"/>
        <v>244219.37</v>
      </c>
    </row>
    <row r="59" spans="1:23" ht="12.75">
      <c r="A59" s="146"/>
      <c r="B59" s="146"/>
      <c r="C59" s="146"/>
      <c r="D59" s="146" t="s">
        <v>35</v>
      </c>
      <c r="E59" s="146" t="s">
        <v>64</v>
      </c>
      <c r="F59" s="151">
        <v>5000</v>
      </c>
      <c r="G59" s="151">
        <v>50000</v>
      </c>
      <c r="H59" s="151">
        <f t="shared" si="10"/>
        <v>-45000</v>
      </c>
      <c r="I59" s="146"/>
      <c r="J59" s="156"/>
      <c r="K59" s="195"/>
      <c r="L59" s="195"/>
      <c r="M59" s="156"/>
      <c r="N59" s="156"/>
      <c r="O59" s="156"/>
      <c r="P59" s="156"/>
      <c r="Q59" s="156"/>
      <c r="R59" s="156"/>
      <c r="S59" s="156"/>
      <c r="T59" s="156"/>
      <c r="U59" s="156">
        <f t="shared" si="11"/>
        <v>0</v>
      </c>
      <c r="V59" s="156">
        <f t="shared" si="12"/>
        <v>5000</v>
      </c>
      <c r="W59" s="156">
        <f t="shared" si="9"/>
        <v>50000</v>
      </c>
    </row>
    <row r="60" spans="1:24" ht="12.75">
      <c r="A60" s="146"/>
      <c r="B60" s="146"/>
      <c r="C60" s="146"/>
      <c r="D60" s="146" t="s">
        <v>38</v>
      </c>
      <c r="E60" s="146" t="s">
        <v>68</v>
      </c>
      <c r="F60" s="151">
        <v>41000</v>
      </c>
      <c r="G60" s="151">
        <v>41000</v>
      </c>
      <c r="H60" s="151">
        <f t="shared" si="10"/>
        <v>0</v>
      </c>
      <c r="I60" s="146"/>
      <c r="J60" s="156"/>
      <c r="K60" s="195"/>
      <c r="L60" s="195"/>
      <c r="M60" s="156"/>
      <c r="N60" s="156"/>
      <c r="O60" s="156"/>
      <c r="P60" s="156"/>
      <c r="Q60" s="156"/>
      <c r="R60" s="156"/>
      <c r="S60" s="156"/>
      <c r="T60" s="156"/>
      <c r="U60" s="156">
        <f t="shared" si="11"/>
        <v>0</v>
      </c>
      <c r="V60" s="156">
        <f t="shared" si="12"/>
        <v>41000</v>
      </c>
      <c r="W60" s="156">
        <f t="shared" si="9"/>
        <v>41000</v>
      </c>
      <c r="X60" s="208">
        <f>+G61+G62+G63+G64</f>
        <v>409833</v>
      </c>
    </row>
    <row r="61" spans="1:23" ht="12.75">
      <c r="A61" s="146"/>
      <c r="B61" s="146"/>
      <c r="C61" s="146"/>
      <c r="D61" s="146" t="s">
        <v>140</v>
      </c>
      <c r="E61" s="146" t="s">
        <v>141</v>
      </c>
      <c r="F61" s="151">
        <v>21832</v>
      </c>
      <c r="G61" s="205">
        <v>21833</v>
      </c>
      <c r="H61" s="151">
        <f t="shared" si="10"/>
        <v>-1</v>
      </c>
      <c r="I61" s="159">
        <v>21832.5</v>
      </c>
      <c r="J61" s="156"/>
      <c r="K61" s="195"/>
      <c r="L61" s="195"/>
      <c r="M61" s="156"/>
      <c r="N61" s="156"/>
      <c r="O61" s="156"/>
      <c r="P61" s="156"/>
      <c r="Q61" s="156"/>
      <c r="R61" s="156"/>
      <c r="S61" s="156"/>
      <c r="T61" s="156"/>
      <c r="U61" s="156">
        <f t="shared" si="11"/>
        <v>21832.5</v>
      </c>
      <c r="V61" s="165">
        <f t="shared" si="12"/>
        <v>-0.5</v>
      </c>
      <c r="W61" s="156">
        <f t="shared" si="9"/>
        <v>0.5</v>
      </c>
    </row>
    <row r="62" spans="1:23" ht="12.75">
      <c r="A62" s="146"/>
      <c r="B62" s="146"/>
      <c r="C62" s="146"/>
      <c r="D62" s="146" t="s">
        <v>142</v>
      </c>
      <c r="E62" s="146" t="s">
        <v>143</v>
      </c>
      <c r="F62" s="201">
        <v>1000000</v>
      </c>
      <c r="G62" s="206">
        <f>1000000-200000-90000-200000-50000-100000-200000-22000</f>
        <v>138000</v>
      </c>
      <c r="H62" s="151">
        <f t="shared" si="10"/>
        <v>862000</v>
      </c>
      <c r="I62" s="146"/>
      <c r="J62" s="156">
        <v>63071.41</v>
      </c>
      <c r="K62" s="195"/>
      <c r="L62" s="195"/>
      <c r="M62" s="156"/>
      <c r="N62" s="156"/>
      <c r="O62" s="156"/>
      <c r="P62" s="156"/>
      <c r="Q62" s="156"/>
      <c r="R62" s="156"/>
      <c r="S62" s="156"/>
      <c r="T62" s="156"/>
      <c r="U62" s="156">
        <f t="shared" si="11"/>
        <v>63071.41</v>
      </c>
      <c r="V62" s="165">
        <f t="shared" si="12"/>
        <v>936928.59</v>
      </c>
      <c r="W62" s="156">
        <f t="shared" si="9"/>
        <v>74928.59</v>
      </c>
    </row>
    <row r="63" spans="1:23" ht="12.75">
      <c r="A63" s="146"/>
      <c r="B63" s="146"/>
      <c r="C63" s="146"/>
      <c r="D63" s="146" t="s">
        <v>144</v>
      </c>
      <c r="E63" s="146" t="s">
        <v>145</v>
      </c>
      <c r="F63" s="151">
        <v>71562.48</v>
      </c>
      <c r="G63" s="201">
        <v>160000</v>
      </c>
      <c r="H63" s="151">
        <f t="shared" si="10"/>
        <v>-88437.52</v>
      </c>
      <c r="I63" s="160">
        <v>5278.34</v>
      </c>
      <c r="J63" s="156">
        <v>4991.99</v>
      </c>
      <c r="K63" s="195"/>
      <c r="L63" s="195"/>
      <c r="M63" s="156"/>
      <c r="N63" s="156"/>
      <c r="O63" s="156"/>
      <c r="P63" s="156"/>
      <c r="Q63" s="156"/>
      <c r="R63" s="156"/>
      <c r="S63" s="156"/>
      <c r="T63" s="156"/>
      <c r="U63" s="156">
        <f t="shared" si="11"/>
        <v>10270.33</v>
      </c>
      <c r="V63" s="156">
        <f t="shared" si="12"/>
        <v>61292.149999999994</v>
      </c>
      <c r="W63" s="156">
        <f t="shared" si="9"/>
        <v>149729.67</v>
      </c>
    </row>
    <row r="64" spans="1:23" ht="12" customHeight="1">
      <c r="A64" s="146"/>
      <c r="B64" s="146"/>
      <c r="C64" s="146"/>
      <c r="D64" s="161">
        <v>4511</v>
      </c>
      <c r="E64" s="146" t="s">
        <v>208</v>
      </c>
      <c r="F64" s="151">
        <v>0</v>
      </c>
      <c r="G64" s="201">
        <f>+(72000*0.25)+72000</f>
        <v>90000</v>
      </c>
      <c r="H64" s="151">
        <f t="shared" si="10"/>
        <v>-90000</v>
      </c>
      <c r="I64" s="146"/>
      <c r="J64" s="146"/>
      <c r="K64" s="152"/>
      <c r="L64" s="153"/>
      <c r="M64" s="146"/>
      <c r="N64" s="146"/>
      <c r="O64" s="146"/>
      <c r="P64" s="146"/>
      <c r="Q64" s="146"/>
      <c r="R64" s="146"/>
      <c r="S64" s="146"/>
      <c r="T64" s="146"/>
      <c r="U64" s="156"/>
      <c r="V64" s="156">
        <f t="shared" si="12"/>
        <v>0</v>
      </c>
      <c r="W64" s="156">
        <f t="shared" si="9"/>
        <v>90000</v>
      </c>
    </row>
    <row r="65" spans="1:23" ht="11.25" customHeight="1">
      <c r="A65" s="146"/>
      <c r="B65" s="146"/>
      <c r="C65" s="146"/>
      <c r="D65" s="146"/>
      <c r="E65" s="146"/>
      <c r="F65" s="154"/>
      <c r="G65" s="154"/>
      <c r="H65" s="154"/>
      <c r="I65" s="146"/>
      <c r="J65" s="146"/>
      <c r="K65" s="158"/>
      <c r="L65" s="153"/>
      <c r="M65" s="146"/>
      <c r="N65" s="146"/>
      <c r="O65" s="146"/>
      <c r="P65" s="146"/>
      <c r="Q65" s="146"/>
      <c r="R65" s="146"/>
      <c r="S65" s="146"/>
      <c r="T65" s="146"/>
      <c r="U65" s="156"/>
      <c r="V65" s="156">
        <f t="shared" si="12"/>
        <v>0</v>
      </c>
      <c r="W65" s="156">
        <f t="shared" si="9"/>
        <v>0</v>
      </c>
    </row>
    <row r="66" spans="1:23" ht="23.25" customHeight="1">
      <c r="A66" s="146"/>
      <c r="B66" s="149" t="s">
        <v>146</v>
      </c>
      <c r="C66" s="149" t="s">
        <v>147</v>
      </c>
      <c r="D66" s="149"/>
      <c r="E66" s="149"/>
      <c r="F66" s="150">
        <f>SUBTOTAL(9,F67:F97)</f>
        <v>59208</v>
      </c>
      <c r="G66" s="150">
        <f>SUBTOTAL(9,G67:G97)</f>
        <v>85920</v>
      </c>
      <c r="H66" s="150">
        <f>SUBTOTAL(9,H67:H97)</f>
        <v>-26712</v>
      </c>
      <c r="I66" s="150">
        <f aca="true" t="shared" si="13" ref="I66:W66">SUBTOTAL(9,I67:I97)</f>
        <v>9436.659999999998</v>
      </c>
      <c r="J66" s="150">
        <f t="shared" si="13"/>
        <v>31644.420000000002</v>
      </c>
      <c r="K66" s="150">
        <f t="shared" si="13"/>
        <v>0.8</v>
      </c>
      <c r="L66" s="150">
        <f t="shared" si="13"/>
        <v>0</v>
      </c>
      <c r="M66" s="150">
        <f t="shared" si="13"/>
        <v>0</v>
      </c>
      <c r="N66" s="150">
        <f t="shared" si="13"/>
        <v>0</v>
      </c>
      <c r="O66" s="150">
        <f t="shared" si="13"/>
        <v>0</v>
      </c>
      <c r="P66" s="150">
        <f t="shared" si="13"/>
        <v>0</v>
      </c>
      <c r="Q66" s="150">
        <f t="shared" si="13"/>
        <v>0</v>
      </c>
      <c r="R66" s="150">
        <f t="shared" si="13"/>
        <v>0</v>
      </c>
      <c r="S66" s="150">
        <f t="shared" si="13"/>
        <v>0</v>
      </c>
      <c r="T66" s="150">
        <f t="shared" si="13"/>
        <v>0</v>
      </c>
      <c r="U66" s="150">
        <f t="shared" si="13"/>
        <v>31081.880000000005</v>
      </c>
      <c r="V66" s="150">
        <f t="shared" si="13"/>
        <v>28126.12</v>
      </c>
      <c r="W66" s="150">
        <f t="shared" si="13"/>
        <v>39428.06</v>
      </c>
    </row>
    <row r="67" spans="1:23" ht="30" customHeight="1" hidden="1">
      <c r="A67" s="146"/>
      <c r="B67" s="149"/>
      <c r="C67" s="149"/>
      <c r="D67" s="149"/>
      <c r="E67" s="149"/>
      <c r="F67" s="150"/>
      <c r="G67" s="150"/>
      <c r="H67" s="150"/>
      <c r="I67" s="146"/>
      <c r="J67" s="146"/>
      <c r="K67" s="147"/>
      <c r="L67" s="148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</row>
    <row r="68" spans="1:23" ht="12.75">
      <c r="A68" s="146"/>
      <c r="B68" s="146"/>
      <c r="C68" s="137" t="s">
        <v>2</v>
      </c>
      <c r="D68" s="137" t="s">
        <v>119</v>
      </c>
      <c r="E68" s="137"/>
      <c r="F68" s="138">
        <f>SUBTOTAL(9,F69:F86)</f>
        <v>41208</v>
      </c>
      <c r="G68" s="138">
        <f>SUBTOTAL(9,G69:G86)</f>
        <v>67920</v>
      </c>
      <c r="H68" s="138">
        <f>SUBTOTAL(9,H69:H86)</f>
        <v>-26712</v>
      </c>
      <c r="I68" s="166">
        <f aca="true" t="shared" si="14" ref="I68:W68">SUBTOTAL(9,I69:I86)</f>
        <v>9436.659999999998</v>
      </c>
      <c r="J68" s="138">
        <f t="shared" si="14"/>
        <v>30349.45</v>
      </c>
      <c r="K68" s="138">
        <f t="shared" si="14"/>
        <v>0.8</v>
      </c>
      <c r="L68" s="138">
        <f t="shared" si="14"/>
        <v>0</v>
      </c>
      <c r="M68" s="138">
        <f t="shared" si="14"/>
        <v>0</v>
      </c>
      <c r="N68" s="138">
        <f t="shared" si="14"/>
        <v>0</v>
      </c>
      <c r="O68" s="138">
        <f t="shared" si="14"/>
        <v>0</v>
      </c>
      <c r="P68" s="138">
        <f t="shared" si="14"/>
        <v>0</v>
      </c>
      <c r="Q68" s="138">
        <f t="shared" si="14"/>
        <v>0</v>
      </c>
      <c r="R68" s="138">
        <f t="shared" si="14"/>
        <v>0</v>
      </c>
      <c r="S68" s="138">
        <f t="shared" si="14"/>
        <v>0</v>
      </c>
      <c r="T68" s="138">
        <f t="shared" si="14"/>
        <v>0</v>
      </c>
      <c r="U68" s="138">
        <f t="shared" si="14"/>
        <v>29786.910000000003</v>
      </c>
      <c r="V68" s="138">
        <f t="shared" si="14"/>
        <v>11421.09</v>
      </c>
      <c r="W68" s="138">
        <f t="shared" si="14"/>
        <v>38133.09</v>
      </c>
    </row>
    <row r="69" spans="1:23" ht="12.75" hidden="1">
      <c r="A69" s="146"/>
      <c r="B69" s="146"/>
      <c r="C69" s="146"/>
      <c r="D69" s="146"/>
      <c r="E69" s="146"/>
      <c r="F69" s="151"/>
      <c r="G69" s="151"/>
      <c r="H69" s="151"/>
      <c r="I69" s="156"/>
      <c r="J69" s="146"/>
      <c r="K69" s="152"/>
      <c r="L69" s="153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</row>
    <row r="70" spans="1:23" ht="12.75">
      <c r="A70" s="146"/>
      <c r="B70" s="146"/>
      <c r="C70" s="146"/>
      <c r="D70" s="146" t="s">
        <v>10</v>
      </c>
      <c r="E70" s="146" t="s">
        <v>79</v>
      </c>
      <c r="F70" s="151">
        <v>20000</v>
      </c>
      <c r="G70" s="151">
        <v>40000</v>
      </c>
      <c r="H70" s="151">
        <f>+F70-G70</f>
        <v>-20000</v>
      </c>
      <c r="I70" s="156"/>
      <c r="J70" s="156">
        <v>20269.4</v>
      </c>
      <c r="K70" s="195"/>
      <c r="L70" s="195"/>
      <c r="M70" s="156"/>
      <c r="N70" s="156"/>
      <c r="O70" s="156"/>
      <c r="P70" s="156"/>
      <c r="Q70" s="156"/>
      <c r="R70" s="156"/>
      <c r="S70" s="156"/>
      <c r="T70" s="156"/>
      <c r="U70" s="156">
        <f>+I70+J70+K70+L70+M70+N70+O70+P70+Q70+R70+S70+T70</f>
        <v>20269.4</v>
      </c>
      <c r="V70" s="165">
        <f aca="true" t="shared" si="15" ref="V70:V79">+F70-U70</f>
        <v>-269.40000000000146</v>
      </c>
      <c r="W70" s="165">
        <f aca="true" t="shared" si="16" ref="W70:W85">+G70-U70</f>
        <v>19730.6</v>
      </c>
    </row>
    <row r="71" spans="1:23" ht="12.75">
      <c r="A71" s="146"/>
      <c r="B71" s="146"/>
      <c r="C71" s="146"/>
      <c r="D71" s="146" t="s">
        <v>17</v>
      </c>
      <c r="E71" s="146" t="s">
        <v>95</v>
      </c>
      <c r="F71" s="151">
        <v>0</v>
      </c>
      <c r="G71" s="151">
        <v>1500</v>
      </c>
      <c r="H71" s="151">
        <f aca="true" t="shared" si="17" ref="H71:H86">+F71-G71</f>
        <v>-1500</v>
      </c>
      <c r="I71" s="157">
        <v>69.98</v>
      </c>
      <c r="J71" s="156"/>
      <c r="K71" s="199"/>
      <c r="L71" s="195"/>
      <c r="M71" s="156"/>
      <c r="N71" s="156"/>
      <c r="O71" s="156"/>
      <c r="P71" s="156"/>
      <c r="Q71" s="156"/>
      <c r="R71" s="156"/>
      <c r="S71" s="156"/>
      <c r="T71" s="156"/>
      <c r="U71" s="156">
        <f aca="true" t="shared" si="18" ref="U71:U85">+I71+J71+K71+L71+M71+N71+O71+P71+Q71+R71+S71+T71</f>
        <v>69.98</v>
      </c>
      <c r="V71" s="165">
        <f t="shared" si="15"/>
        <v>-69.98</v>
      </c>
      <c r="W71" s="156">
        <f t="shared" si="16"/>
        <v>1430.02</v>
      </c>
    </row>
    <row r="72" spans="1:23" ht="12.75">
      <c r="A72" s="146"/>
      <c r="B72" s="146"/>
      <c r="C72" s="146"/>
      <c r="D72" s="146">
        <v>3222</v>
      </c>
      <c r="E72" s="146" t="s">
        <v>218</v>
      </c>
      <c r="F72" s="151">
        <v>0</v>
      </c>
      <c r="G72" s="151">
        <v>750</v>
      </c>
      <c r="H72" s="151">
        <f t="shared" si="17"/>
        <v>-750</v>
      </c>
      <c r="I72" s="157"/>
      <c r="J72" s="156">
        <v>750</v>
      </c>
      <c r="K72" s="199"/>
      <c r="L72" s="195"/>
      <c r="M72" s="156"/>
      <c r="N72" s="156"/>
      <c r="O72" s="156"/>
      <c r="P72" s="156"/>
      <c r="Q72" s="156"/>
      <c r="R72" s="156"/>
      <c r="S72" s="156"/>
      <c r="T72" s="156"/>
      <c r="U72" s="156"/>
      <c r="V72" s="165">
        <f>+F72-U72</f>
        <v>0</v>
      </c>
      <c r="W72" s="156">
        <f>+G72-U72</f>
        <v>750</v>
      </c>
    </row>
    <row r="73" spans="1:23" ht="12.75">
      <c r="A73" s="146"/>
      <c r="B73" s="146"/>
      <c r="C73" s="146"/>
      <c r="D73" s="146" t="s">
        <v>19</v>
      </c>
      <c r="E73" s="146" t="s">
        <v>51</v>
      </c>
      <c r="F73" s="151">
        <v>5000</v>
      </c>
      <c r="G73" s="207">
        <f>5000-1500-1000-2000</f>
        <v>500</v>
      </c>
      <c r="H73" s="151">
        <f t="shared" si="17"/>
        <v>4500</v>
      </c>
      <c r="I73" s="156"/>
      <c r="J73" s="156"/>
      <c r="K73" s="195"/>
      <c r="L73" s="195"/>
      <c r="M73" s="156"/>
      <c r="N73" s="156"/>
      <c r="O73" s="156"/>
      <c r="P73" s="156"/>
      <c r="Q73" s="156"/>
      <c r="R73" s="156"/>
      <c r="S73" s="156"/>
      <c r="T73" s="156"/>
      <c r="U73" s="156">
        <f t="shared" si="18"/>
        <v>0</v>
      </c>
      <c r="V73" s="156">
        <f t="shared" si="15"/>
        <v>5000</v>
      </c>
      <c r="W73" s="156">
        <f t="shared" si="16"/>
        <v>500</v>
      </c>
    </row>
    <row r="74" spans="1:23" ht="12.75">
      <c r="A74" s="146"/>
      <c r="B74" s="146"/>
      <c r="C74" s="146"/>
      <c r="D74" s="161">
        <v>3231</v>
      </c>
      <c r="E74" s="146" t="s">
        <v>100</v>
      </c>
      <c r="F74" s="151">
        <v>0</v>
      </c>
      <c r="G74" s="151">
        <v>1000</v>
      </c>
      <c r="H74" s="151">
        <f t="shared" si="17"/>
        <v>-1000</v>
      </c>
      <c r="I74" s="156">
        <v>73</v>
      </c>
      <c r="J74" s="156">
        <v>75</v>
      </c>
      <c r="K74" s="195"/>
      <c r="L74" s="195"/>
      <c r="M74" s="156"/>
      <c r="N74" s="156"/>
      <c r="O74" s="156"/>
      <c r="P74" s="156"/>
      <c r="Q74" s="156"/>
      <c r="R74" s="156"/>
      <c r="S74" s="156"/>
      <c r="T74" s="156"/>
      <c r="U74" s="156">
        <f t="shared" si="18"/>
        <v>148</v>
      </c>
      <c r="V74" s="165">
        <f t="shared" si="15"/>
        <v>-148</v>
      </c>
      <c r="W74" s="156">
        <f t="shared" si="16"/>
        <v>852</v>
      </c>
    </row>
    <row r="75" spans="1:23" ht="12.75">
      <c r="A75" s="146"/>
      <c r="B75" s="146"/>
      <c r="C75" s="146"/>
      <c r="D75" s="146" t="s">
        <v>25</v>
      </c>
      <c r="E75" s="146" t="s">
        <v>104</v>
      </c>
      <c r="F75" s="151">
        <v>5000</v>
      </c>
      <c r="G75" s="207">
        <f>5000-2000-1000</f>
        <v>2000</v>
      </c>
      <c r="H75" s="151">
        <f t="shared" si="17"/>
        <v>3000</v>
      </c>
      <c r="I75" s="156"/>
      <c r="J75" s="156"/>
      <c r="K75" s="195"/>
      <c r="L75" s="195"/>
      <c r="M75" s="156"/>
      <c r="N75" s="156"/>
      <c r="O75" s="156"/>
      <c r="P75" s="156"/>
      <c r="Q75" s="156"/>
      <c r="R75" s="156"/>
      <c r="S75" s="156"/>
      <c r="T75" s="156"/>
      <c r="U75" s="156">
        <f t="shared" si="18"/>
        <v>0</v>
      </c>
      <c r="V75" s="156">
        <f t="shared" si="15"/>
        <v>5000</v>
      </c>
      <c r="W75" s="156">
        <f t="shared" si="16"/>
        <v>2000</v>
      </c>
    </row>
    <row r="76" spans="1:23" ht="12.75">
      <c r="A76" s="146"/>
      <c r="B76" s="146"/>
      <c r="C76" s="146"/>
      <c r="D76" s="161">
        <v>3234</v>
      </c>
      <c r="E76" s="146" t="s">
        <v>180</v>
      </c>
      <c r="F76" s="151">
        <v>0</v>
      </c>
      <c r="G76" s="151">
        <f>2000-750</f>
        <v>1250</v>
      </c>
      <c r="H76" s="151">
        <f t="shared" si="17"/>
        <v>-1250</v>
      </c>
      <c r="I76" s="156">
        <v>1770.25</v>
      </c>
      <c r="J76" s="156"/>
      <c r="K76" s="195"/>
      <c r="L76" s="195"/>
      <c r="M76" s="156"/>
      <c r="N76" s="156"/>
      <c r="O76" s="156"/>
      <c r="P76" s="156"/>
      <c r="Q76" s="156"/>
      <c r="R76" s="156"/>
      <c r="S76" s="156"/>
      <c r="T76" s="156"/>
      <c r="U76" s="156">
        <f t="shared" si="18"/>
        <v>1770.25</v>
      </c>
      <c r="V76" s="165">
        <f t="shared" si="15"/>
        <v>-1770.25</v>
      </c>
      <c r="W76" s="156">
        <f t="shared" si="16"/>
        <v>-520.25</v>
      </c>
    </row>
    <row r="77" spans="1:23" ht="12.75">
      <c r="A77" s="146"/>
      <c r="B77" s="146"/>
      <c r="C77" s="146"/>
      <c r="D77" s="146" t="s">
        <v>31</v>
      </c>
      <c r="E77" s="146" t="s">
        <v>83</v>
      </c>
      <c r="F77" s="151">
        <v>7000</v>
      </c>
      <c r="G77" s="207">
        <f>7000-5000-1000</f>
        <v>1000</v>
      </c>
      <c r="H77" s="151">
        <f t="shared" si="17"/>
        <v>6000</v>
      </c>
      <c r="I77" s="156"/>
      <c r="J77" s="156"/>
      <c r="K77" s="195"/>
      <c r="L77" s="195"/>
      <c r="M77" s="156"/>
      <c r="N77" s="156"/>
      <c r="O77" s="156"/>
      <c r="P77" s="156"/>
      <c r="Q77" s="156"/>
      <c r="R77" s="156"/>
      <c r="S77" s="156"/>
      <c r="T77" s="156"/>
      <c r="U77" s="156">
        <f t="shared" si="18"/>
        <v>0</v>
      </c>
      <c r="V77" s="156">
        <f t="shared" si="15"/>
        <v>7000</v>
      </c>
      <c r="W77" s="156">
        <f t="shared" si="16"/>
        <v>1000</v>
      </c>
    </row>
    <row r="78" spans="1:23" ht="12.75">
      <c r="A78" s="146"/>
      <c r="B78" s="146"/>
      <c r="C78" s="146"/>
      <c r="D78" s="146">
        <v>3239</v>
      </c>
      <c r="E78" s="146" t="s">
        <v>219</v>
      </c>
      <c r="F78" s="151">
        <v>0</v>
      </c>
      <c r="G78" s="207">
        <v>10000</v>
      </c>
      <c r="H78" s="151">
        <f t="shared" si="17"/>
        <v>-10000</v>
      </c>
      <c r="I78" s="156"/>
      <c r="J78" s="156">
        <v>9250</v>
      </c>
      <c r="K78" s="195"/>
      <c r="L78" s="195"/>
      <c r="M78" s="156"/>
      <c r="N78" s="156"/>
      <c r="O78" s="156"/>
      <c r="P78" s="156"/>
      <c r="Q78" s="156"/>
      <c r="R78" s="156"/>
      <c r="S78" s="156"/>
      <c r="T78" s="156"/>
      <c r="U78" s="156"/>
      <c r="V78" s="156">
        <f>+F78-U78</f>
        <v>0</v>
      </c>
      <c r="W78" s="156">
        <f>+G78-U78</f>
        <v>10000</v>
      </c>
    </row>
    <row r="79" spans="1:23" ht="12.75">
      <c r="A79" s="146"/>
      <c r="B79" s="146"/>
      <c r="C79" s="146"/>
      <c r="D79" s="146" t="s">
        <v>35</v>
      </c>
      <c r="E79" s="146" t="s">
        <v>64</v>
      </c>
      <c r="F79" s="151">
        <v>3700</v>
      </c>
      <c r="G79" s="151">
        <f>3700-2000-200</f>
        <v>1500</v>
      </c>
      <c r="H79" s="151">
        <f t="shared" si="17"/>
        <v>2200</v>
      </c>
      <c r="I79" s="156"/>
      <c r="J79" s="156"/>
      <c r="K79" s="195"/>
      <c r="L79" s="195"/>
      <c r="M79" s="156"/>
      <c r="N79" s="156"/>
      <c r="O79" s="156"/>
      <c r="P79" s="156"/>
      <c r="Q79" s="156"/>
      <c r="R79" s="156"/>
      <c r="S79" s="156"/>
      <c r="T79" s="156"/>
      <c r="U79" s="156">
        <f t="shared" si="18"/>
        <v>0</v>
      </c>
      <c r="V79" s="156">
        <f t="shared" si="15"/>
        <v>3700</v>
      </c>
      <c r="W79" s="156">
        <f t="shared" si="16"/>
        <v>1500</v>
      </c>
    </row>
    <row r="80" spans="1:23" ht="12.75">
      <c r="A80" s="146"/>
      <c r="B80" s="146"/>
      <c r="C80" s="146"/>
      <c r="D80" s="161">
        <v>3293</v>
      </c>
      <c r="E80" s="146" t="s">
        <v>181</v>
      </c>
      <c r="F80" s="151">
        <v>0</v>
      </c>
      <c r="G80" s="151">
        <v>7500</v>
      </c>
      <c r="H80" s="151">
        <f t="shared" si="17"/>
        <v>-7500</v>
      </c>
      <c r="I80" s="156">
        <v>7401</v>
      </c>
      <c r="J80" s="156"/>
      <c r="K80" s="195"/>
      <c r="L80" s="195"/>
      <c r="M80" s="156"/>
      <c r="N80" s="156"/>
      <c r="O80" s="156"/>
      <c r="P80" s="156"/>
      <c r="Q80" s="156"/>
      <c r="R80" s="156"/>
      <c r="S80" s="156"/>
      <c r="T80" s="156"/>
      <c r="U80" s="156">
        <f t="shared" si="18"/>
        <v>7401</v>
      </c>
      <c r="V80" s="165">
        <f aca="true" t="shared" si="19" ref="V80:V85">+F80-U80</f>
        <v>-7401</v>
      </c>
      <c r="W80" s="156">
        <f t="shared" si="16"/>
        <v>99</v>
      </c>
    </row>
    <row r="81" spans="1:23" ht="12.75">
      <c r="A81" s="146"/>
      <c r="B81" s="146"/>
      <c r="C81" s="146"/>
      <c r="D81" s="161">
        <v>3295</v>
      </c>
      <c r="E81" s="146" t="s">
        <v>68</v>
      </c>
      <c r="F81" s="151">
        <v>0</v>
      </c>
      <c r="G81" s="151">
        <v>200</v>
      </c>
      <c r="H81" s="151">
        <f t="shared" si="17"/>
        <v>-200</v>
      </c>
      <c r="I81" s="156">
        <v>20</v>
      </c>
      <c r="J81" s="156">
        <v>1.25</v>
      </c>
      <c r="K81" s="195"/>
      <c r="L81" s="195"/>
      <c r="M81" s="156"/>
      <c r="N81" s="156"/>
      <c r="O81" s="156"/>
      <c r="P81" s="156"/>
      <c r="Q81" s="156"/>
      <c r="R81" s="156"/>
      <c r="S81" s="156"/>
      <c r="T81" s="156"/>
      <c r="U81" s="156">
        <f t="shared" si="18"/>
        <v>21.25</v>
      </c>
      <c r="V81" s="165">
        <f t="shared" si="19"/>
        <v>-21.25</v>
      </c>
      <c r="W81" s="156">
        <f t="shared" si="16"/>
        <v>178.75</v>
      </c>
    </row>
    <row r="82" spans="1:23" ht="12.75">
      <c r="A82" s="146"/>
      <c r="B82" s="146"/>
      <c r="C82" s="146"/>
      <c r="D82" s="146" t="s">
        <v>42</v>
      </c>
      <c r="E82" s="146" t="s">
        <v>93</v>
      </c>
      <c r="F82" s="151">
        <v>4</v>
      </c>
      <c r="G82" s="151">
        <v>200</v>
      </c>
      <c r="H82" s="151">
        <f t="shared" si="17"/>
        <v>-196</v>
      </c>
      <c r="I82" s="156">
        <v>50.8</v>
      </c>
      <c r="J82" s="156">
        <v>3.8</v>
      </c>
      <c r="K82" s="195">
        <v>0.8</v>
      </c>
      <c r="L82" s="195"/>
      <c r="M82" s="156"/>
      <c r="N82" s="156"/>
      <c r="O82" s="156"/>
      <c r="P82" s="156"/>
      <c r="Q82" s="156"/>
      <c r="R82" s="156"/>
      <c r="S82" s="156"/>
      <c r="T82" s="156"/>
      <c r="U82" s="156">
        <f t="shared" si="18"/>
        <v>55.39999999999999</v>
      </c>
      <c r="V82" s="165">
        <f t="shared" si="19"/>
        <v>-51.39999999999999</v>
      </c>
      <c r="W82" s="156">
        <f t="shared" si="16"/>
        <v>144.60000000000002</v>
      </c>
    </row>
    <row r="83" spans="1:23" ht="12.75">
      <c r="A83" s="146"/>
      <c r="B83" s="146"/>
      <c r="C83" s="146"/>
      <c r="D83" s="146" t="s">
        <v>43</v>
      </c>
      <c r="E83" s="146" t="s">
        <v>109</v>
      </c>
      <c r="F83" s="151">
        <v>400</v>
      </c>
      <c r="G83" s="151">
        <v>400</v>
      </c>
      <c r="H83" s="151">
        <f t="shared" si="17"/>
        <v>0</v>
      </c>
      <c r="I83" s="156"/>
      <c r="J83" s="156"/>
      <c r="K83" s="195"/>
      <c r="L83" s="195"/>
      <c r="M83" s="156"/>
      <c r="N83" s="156"/>
      <c r="O83" s="156"/>
      <c r="P83" s="156"/>
      <c r="Q83" s="156"/>
      <c r="R83" s="156"/>
      <c r="S83" s="156"/>
      <c r="T83" s="156"/>
      <c r="U83" s="156">
        <f t="shared" si="18"/>
        <v>0</v>
      </c>
      <c r="V83" s="156">
        <f t="shared" si="19"/>
        <v>400</v>
      </c>
      <c r="W83" s="156">
        <f t="shared" si="16"/>
        <v>400</v>
      </c>
    </row>
    <row r="84" spans="1:23" ht="12.75">
      <c r="A84" s="146"/>
      <c r="B84" s="146"/>
      <c r="C84" s="146"/>
      <c r="D84" s="146" t="s">
        <v>44</v>
      </c>
      <c r="E84" s="146" t="s">
        <v>58</v>
      </c>
      <c r="F84" s="151">
        <v>100</v>
      </c>
      <c r="G84" s="151">
        <v>100</v>
      </c>
      <c r="H84" s="151">
        <f t="shared" si="17"/>
        <v>0</v>
      </c>
      <c r="I84" s="156">
        <v>51.63</v>
      </c>
      <c r="J84" s="156"/>
      <c r="K84" s="195"/>
      <c r="L84" s="195"/>
      <c r="M84" s="156"/>
      <c r="N84" s="156"/>
      <c r="O84" s="156"/>
      <c r="P84" s="156"/>
      <c r="Q84" s="156"/>
      <c r="R84" s="156"/>
      <c r="S84" s="156"/>
      <c r="T84" s="156"/>
      <c r="U84" s="156">
        <f t="shared" si="18"/>
        <v>51.63</v>
      </c>
      <c r="V84" s="156">
        <f t="shared" si="19"/>
        <v>48.37</v>
      </c>
      <c r="W84" s="156">
        <f t="shared" si="16"/>
        <v>48.37</v>
      </c>
    </row>
    <row r="85" spans="1:23" ht="12.75">
      <c r="A85" s="146"/>
      <c r="B85" s="146"/>
      <c r="C85" s="146"/>
      <c r="D85" s="146" t="s">
        <v>45</v>
      </c>
      <c r="E85" s="146" t="s">
        <v>89</v>
      </c>
      <c r="F85" s="151">
        <v>4</v>
      </c>
      <c r="G85" s="151">
        <v>20</v>
      </c>
      <c r="H85" s="151">
        <f t="shared" si="17"/>
        <v>-16</v>
      </c>
      <c r="I85" s="156"/>
      <c r="J85" s="156"/>
      <c r="K85" s="195"/>
      <c r="L85" s="195"/>
      <c r="M85" s="156"/>
      <c r="N85" s="156"/>
      <c r="O85" s="156"/>
      <c r="P85" s="156"/>
      <c r="Q85" s="156"/>
      <c r="R85" s="156"/>
      <c r="S85" s="156"/>
      <c r="T85" s="156"/>
      <c r="U85" s="156">
        <f t="shared" si="18"/>
        <v>0</v>
      </c>
      <c r="V85" s="156">
        <f t="shared" si="19"/>
        <v>4</v>
      </c>
      <c r="W85" s="156">
        <f t="shared" si="16"/>
        <v>20</v>
      </c>
    </row>
    <row r="86" spans="1:23" ht="12.75" hidden="1">
      <c r="A86" s="146"/>
      <c r="B86" s="146"/>
      <c r="C86" s="146">
        <v>3</v>
      </c>
      <c r="D86" s="146"/>
      <c r="E86" s="146"/>
      <c r="F86" s="151"/>
      <c r="G86" s="151"/>
      <c r="H86" s="151">
        <f t="shared" si="17"/>
        <v>0</v>
      </c>
      <c r="I86" s="156"/>
      <c r="J86" s="156"/>
      <c r="K86" s="195"/>
      <c r="L86" s="195"/>
      <c r="M86" s="156"/>
      <c r="N86" s="156"/>
      <c r="O86" s="156"/>
      <c r="P86" s="156"/>
      <c r="Q86" s="156"/>
      <c r="R86" s="156"/>
      <c r="S86" s="156"/>
      <c r="T86" s="156"/>
      <c r="U86" s="156"/>
      <c r="V86" s="146"/>
      <c r="W86" s="146"/>
    </row>
    <row r="87" spans="1:23" ht="12.75">
      <c r="A87" s="146"/>
      <c r="B87" s="146"/>
      <c r="C87" s="137" t="s">
        <v>148</v>
      </c>
      <c r="D87" s="137" t="s">
        <v>149</v>
      </c>
      <c r="E87" s="137"/>
      <c r="F87" s="138">
        <f>SUBTOTAL(9,F88:F96)</f>
        <v>18000</v>
      </c>
      <c r="G87" s="138">
        <f>SUBTOTAL(9,G88:G96)</f>
        <v>18000</v>
      </c>
      <c r="H87" s="138">
        <f>SUBTOTAL(9,H88:H96)</f>
        <v>0</v>
      </c>
      <c r="I87" s="166">
        <f aca="true" t="shared" si="20" ref="I87:V87">SUBTOTAL(9,I88:I96)</f>
        <v>0</v>
      </c>
      <c r="J87" s="166">
        <f t="shared" si="20"/>
        <v>1294.97</v>
      </c>
      <c r="K87" s="166">
        <f t="shared" si="20"/>
        <v>0</v>
      </c>
      <c r="L87" s="166">
        <f t="shared" si="20"/>
        <v>0</v>
      </c>
      <c r="M87" s="166">
        <f t="shared" si="20"/>
        <v>0</v>
      </c>
      <c r="N87" s="166">
        <f t="shared" si="20"/>
        <v>0</v>
      </c>
      <c r="O87" s="166">
        <f t="shared" si="20"/>
        <v>0</v>
      </c>
      <c r="P87" s="166">
        <f t="shared" si="20"/>
        <v>0</v>
      </c>
      <c r="Q87" s="166">
        <f t="shared" si="20"/>
        <v>0</v>
      </c>
      <c r="R87" s="166">
        <f t="shared" si="20"/>
        <v>0</v>
      </c>
      <c r="S87" s="166">
        <f t="shared" si="20"/>
        <v>0</v>
      </c>
      <c r="T87" s="166">
        <f t="shared" si="20"/>
        <v>0</v>
      </c>
      <c r="U87" s="166">
        <f t="shared" si="20"/>
        <v>1294.97</v>
      </c>
      <c r="V87" s="138">
        <f t="shared" si="20"/>
        <v>16705.03</v>
      </c>
      <c r="W87" s="138">
        <f>SUBTOTAL(9,W88:W96)</f>
        <v>1294.97</v>
      </c>
    </row>
    <row r="88" spans="1:23" ht="12.75" hidden="1">
      <c r="A88" s="146"/>
      <c r="B88" s="146"/>
      <c r="C88" s="146"/>
      <c r="D88" s="146"/>
      <c r="E88" s="146"/>
      <c r="F88" s="151"/>
      <c r="G88" s="151"/>
      <c r="H88" s="151"/>
      <c r="I88" s="156"/>
      <c r="J88" s="156"/>
      <c r="K88" s="195"/>
      <c r="L88" s="195"/>
      <c r="M88" s="156"/>
      <c r="N88" s="156"/>
      <c r="O88" s="156"/>
      <c r="P88" s="156"/>
      <c r="Q88" s="156"/>
      <c r="R88" s="156"/>
      <c r="S88" s="156"/>
      <c r="T88" s="156"/>
      <c r="U88" s="156"/>
      <c r="V88" s="146"/>
      <c r="W88" s="146"/>
    </row>
    <row r="89" spans="1:23" ht="12.75">
      <c r="A89" s="146"/>
      <c r="B89" s="146"/>
      <c r="C89" s="146"/>
      <c r="D89" s="146" t="s">
        <v>18</v>
      </c>
      <c r="E89" s="146" t="s">
        <v>70</v>
      </c>
      <c r="F89" s="151">
        <v>0</v>
      </c>
      <c r="G89" s="151">
        <v>0</v>
      </c>
      <c r="H89" s="151">
        <f>+F89-G89</f>
        <v>0</v>
      </c>
      <c r="I89" s="156"/>
      <c r="J89" s="156"/>
      <c r="K89" s="195"/>
      <c r="L89" s="195"/>
      <c r="M89" s="156"/>
      <c r="N89" s="156"/>
      <c r="O89" s="156"/>
      <c r="P89" s="156"/>
      <c r="Q89" s="156"/>
      <c r="R89" s="156"/>
      <c r="S89" s="156"/>
      <c r="T89" s="156"/>
      <c r="U89" s="156">
        <f>+I89+J89+K89+L89+M89+N89+O89+P89+Q89+R89+S89+T89</f>
        <v>0</v>
      </c>
      <c r="V89" s="156">
        <f>+F89-U89</f>
        <v>0</v>
      </c>
      <c r="W89" s="156">
        <f>+G89-V89</f>
        <v>0</v>
      </c>
    </row>
    <row r="90" spans="1:23" ht="12.75">
      <c r="A90" s="146"/>
      <c r="B90" s="146"/>
      <c r="C90" s="146"/>
      <c r="D90" s="146" t="s">
        <v>32</v>
      </c>
      <c r="E90" s="146" t="s">
        <v>56</v>
      </c>
      <c r="F90" s="151">
        <v>4000</v>
      </c>
      <c r="G90" s="151">
        <v>4000</v>
      </c>
      <c r="H90" s="151">
        <f aca="true" t="shared" si="21" ref="H90:H95">+F90-G90</f>
        <v>0</v>
      </c>
      <c r="I90" s="156"/>
      <c r="J90" s="156"/>
      <c r="K90" s="195"/>
      <c r="L90" s="195"/>
      <c r="M90" s="156"/>
      <c r="N90" s="156"/>
      <c r="O90" s="156"/>
      <c r="P90" s="156"/>
      <c r="Q90" s="156"/>
      <c r="R90" s="156"/>
      <c r="S90" s="156"/>
      <c r="T90" s="156"/>
      <c r="U90" s="156">
        <f aca="true" t="shared" si="22" ref="U90:U95">+I90+J90+K90+L90+M90+N90+O90+P90+Q90+R90+S90+T90</f>
        <v>0</v>
      </c>
      <c r="V90" s="156">
        <f aca="true" t="shared" si="23" ref="V90:V95">+F90-U90</f>
        <v>4000</v>
      </c>
      <c r="W90" s="156">
        <f aca="true" t="shared" si="24" ref="W90:W95">+G90-V90</f>
        <v>0</v>
      </c>
    </row>
    <row r="91" spans="1:23" ht="12.75">
      <c r="A91" s="146"/>
      <c r="B91" s="146"/>
      <c r="C91" s="146"/>
      <c r="D91" s="146" t="s">
        <v>35</v>
      </c>
      <c r="E91" s="146" t="s">
        <v>64</v>
      </c>
      <c r="F91" s="151">
        <v>5000</v>
      </c>
      <c r="G91" s="151">
        <v>5000</v>
      </c>
      <c r="H91" s="151">
        <f t="shared" si="21"/>
        <v>0</v>
      </c>
      <c r="I91" s="156"/>
      <c r="J91" s="156"/>
      <c r="K91" s="195"/>
      <c r="L91" s="195"/>
      <c r="M91" s="156"/>
      <c r="N91" s="156"/>
      <c r="O91" s="156"/>
      <c r="P91" s="156"/>
      <c r="Q91" s="156"/>
      <c r="R91" s="156"/>
      <c r="S91" s="156"/>
      <c r="T91" s="156"/>
      <c r="U91" s="156">
        <f t="shared" si="22"/>
        <v>0</v>
      </c>
      <c r="V91" s="156">
        <f t="shared" si="23"/>
        <v>5000</v>
      </c>
      <c r="W91" s="156">
        <f t="shared" si="24"/>
        <v>0</v>
      </c>
    </row>
    <row r="92" spans="1:23" ht="12.75">
      <c r="A92" s="146"/>
      <c r="B92" s="146"/>
      <c r="C92" s="146"/>
      <c r="D92" s="146" t="s">
        <v>36</v>
      </c>
      <c r="E92" s="146" t="s">
        <v>57</v>
      </c>
      <c r="F92" s="151">
        <v>1000</v>
      </c>
      <c r="G92" s="151">
        <v>1000</v>
      </c>
      <c r="H92" s="151">
        <f t="shared" si="21"/>
        <v>0</v>
      </c>
      <c r="I92" s="156"/>
      <c r="J92" s="156">
        <v>716</v>
      </c>
      <c r="K92" s="195"/>
      <c r="L92" s="195"/>
      <c r="M92" s="156"/>
      <c r="N92" s="156"/>
      <c r="O92" s="156"/>
      <c r="P92" s="156"/>
      <c r="Q92" s="156"/>
      <c r="R92" s="156"/>
      <c r="S92" s="156"/>
      <c r="T92" s="156"/>
      <c r="U92" s="156">
        <f t="shared" si="22"/>
        <v>716</v>
      </c>
      <c r="V92" s="165">
        <f t="shared" si="23"/>
        <v>284</v>
      </c>
      <c r="W92" s="156">
        <f t="shared" si="24"/>
        <v>716</v>
      </c>
    </row>
    <row r="93" spans="1:23" ht="12.75">
      <c r="A93" s="146"/>
      <c r="B93" s="146"/>
      <c r="C93" s="146"/>
      <c r="D93" s="146" t="s">
        <v>37</v>
      </c>
      <c r="E93" s="146" t="s">
        <v>85</v>
      </c>
      <c r="F93" s="151">
        <v>1000</v>
      </c>
      <c r="G93" s="151">
        <v>1000</v>
      </c>
      <c r="H93" s="151">
        <f t="shared" si="21"/>
        <v>0</v>
      </c>
      <c r="I93" s="156"/>
      <c r="J93" s="156"/>
      <c r="K93" s="195"/>
      <c r="L93" s="195"/>
      <c r="M93" s="156"/>
      <c r="N93" s="156"/>
      <c r="O93" s="156"/>
      <c r="P93" s="156"/>
      <c r="Q93" s="156"/>
      <c r="R93" s="156"/>
      <c r="S93" s="156"/>
      <c r="T93" s="156"/>
      <c r="U93" s="156">
        <f t="shared" si="22"/>
        <v>0</v>
      </c>
      <c r="V93" s="156">
        <f t="shared" si="23"/>
        <v>1000</v>
      </c>
      <c r="W93" s="156">
        <f t="shared" si="24"/>
        <v>0</v>
      </c>
    </row>
    <row r="94" spans="1:23" ht="12.75">
      <c r="A94" s="146"/>
      <c r="B94" s="146"/>
      <c r="C94" s="146"/>
      <c r="D94" s="146" t="s">
        <v>150</v>
      </c>
      <c r="E94" s="146" t="s">
        <v>117</v>
      </c>
      <c r="F94" s="151">
        <v>2000</v>
      </c>
      <c r="G94" s="151">
        <v>2000</v>
      </c>
      <c r="H94" s="151">
        <f t="shared" si="21"/>
        <v>0</v>
      </c>
      <c r="I94" s="156"/>
      <c r="J94" s="156">
        <v>578.97</v>
      </c>
      <c r="K94" s="195"/>
      <c r="L94" s="195"/>
      <c r="M94" s="156"/>
      <c r="N94" s="156"/>
      <c r="O94" s="156"/>
      <c r="P94" s="156"/>
      <c r="Q94" s="156"/>
      <c r="R94" s="156"/>
      <c r="S94" s="156"/>
      <c r="T94" s="156"/>
      <c r="U94" s="156">
        <f t="shared" si="22"/>
        <v>578.97</v>
      </c>
      <c r="V94" s="156">
        <f t="shared" si="23"/>
        <v>1421.03</v>
      </c>
      <c r="W94" s="156">
        <f t="shared" si="24"/>
        <v>578.97</v>
      </c>
    </row>
    <row r="95" spans="1:23" ht="12.75">
      <c r="A95" s="146"/>
      <c r="B95" s="146"/>
      <c r="C95" s="146"/>
      <c r="D95" s="146" t="s">
        <v>151</v>
      </c>
      <c r="E95" s="146" t="s">
        <v>152</v>
      </c>
      <c r="F95" s="151">
        <v>5000</v>
      </c>
      <c r="G95" s="151">
        <v>5000</v>
      </c>
      <c r="H95" s="151">
        <f t="shared" si="21"/>
        <v>0</v>
      </c>
      <c r="I95" s="156"/>
      <c r="J95" s="156"/>
      <c r="K95" s="195"/>
      <c r="L95" s="195"/>
      <c r="M95" s="156"/>
      <c r="N95" s="156"/>
      <c r="O95" s="156"/>
      <c r="P95" s="156"/>
      <c r="Q95" s="156"/>
      <c r="R95" s="156"/>
      <c r="S95" s="156"/>
      <c r="T95" s="156"/>
      <c r="U95" s="156">
        <f t="shared" si="22"/>
        <v>0</v>
      </c>
      <c r="V95" s="156">
        <f t="shared" si="23"/>
        <v>5000</v>
      </c>
      <c r="W95" s="156">
        <f t="shared" si="24"/>
        <v>0</v>
      </c>
    </row>
    <row r="96" spans="1:23" ht="12.75" hidden="1">
      <c r="A96" s="146"/>
      <c r="B96" s="146"/>
      <c r="C96" s="146">
        <v>3</v>
      </c>
      <c r="D96" s="146"/>
      <c r="E96" s="146"/>
      <c r="F96" s="151"/>
      <c r="G96" s="151"/>
      <c r="H96" s="151"/>
      <c r="I96" s="146"/>
      <c r="J96" s="146"/>
      <c r="K96" s="152"/>
      <c r="L96" s="153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</row>
    <row r="97" spans="1:23" ht="19.5" customHeight="1" hidden="1">
      <c r="A97" s="146"/>
      <c r="B97" s="146"/>
      <c r="C97" s="146">
        <v>2</v>
      </c>
      <c r="D97" s="146"/>
      <c r="E97" s="146"/>
      <c r="F97" s="154"/>
      <c r="G97" s="154"/>
      <c r="H97" s="154"/>
      <c r="I97" s="146"/>
      <c r="J97" s="146"/>
      <c r="K97" s="158"/>
      <c r="L97" s="153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</row>
    <row r="98" spans="1:23" ht="23.25" customHeight="1">
      <c r="A98" s="146"/>
      <c r="B98" s="149" t="s">
        <v>153</v>
      </c>
      <c r="C98" s="149" t="s">
        <v>154</v>
      </c>
      <c r="D98" s="149"/>
      <c r="E98" s="149"/>
      <c r="F98" s="150">
        <f>SUBTOTAL(9,F99:F112)</f>
        <v>50800</v>
      </c>
      <c r="G98" s="150">
        <f>SUBTOTAL(9,G99:G112)</f>
        <v>96275</v>
      </c>
      <c r="H98" s="150">
        <f>SUBTOTAL(9,H99:H112)</f>
        <v>-45475</v>
      </c>
      <c r="I98" s="150">
        <f aca="true" t="shared" si="25" ref="I98:V98">SUBTOTAL(9,I99:I112)</f>
        <v>0</v>
      </c>
      <c r="J98" s="150">
        <f t="shared" si="25"/>
        <v>0</v>
      </c>
      <c r="K98" s="150">
        <f t="shared" si="25"/>
        <v>0</v>
      </c>
      <c r="L98" s="150">
        <f t="shared" si="25"/>
        <v>0</v>
      </c>
      <c r="M98" s="150">
        <f t="shared" si="25"/>
        <v>0</v>
      </c>
      <c r="N98" s="150">
        <f t="shared" si="25"/>
        <v>0</v>
      </c>
      <c r="O98" s="150">
        <f t="shared" si="25"/>
        <v>0</v>
      </c>
      <c r="P98" s="150">
        <f t="shared" si="25"/>
        <v>0</v>
      </c>
      <c r="Q98" s="150">
        <f t="shared" si="25"/>
        <v>0</v>
      </c>
      <c r="R98" s="150">
        <f t="shared" si="25"/>
        <v>0</v>
      </c>
      <c r="S98" s="150">
        <f t="shared" si="25"/>
        <v>0</v>
      </c>
      <c r="T98" s="150">
        <f t="shared" si="25"/>
        <v>0</v>
      </c>
      <c r="U98" s="150">
        <f t="shared" si="25"/>
        <v>0</v>
      </c>
      <c r="V98" s="150">
        <f t="shared" si="25"/>
        <v>50800</v>
      </c>
      <c r="W98" s="150">
        <f>SUBTOTAL(9,W99:W112)</f>
        <v>95475</v>
      </c>
    </row>
    <row r="99" spans="1:23" ht="30" customHeight="1" hidden="1">
      <c r="A99" s="146"/>
      <c r="B99" s="149"/>
      <c r="C99" s="149"/>
      <c r="D99" s="149"/>
      <c r="E99" s="149"/>
      <c r="F99" s="150"/>
      <c r="G99" s="150"/>
      <c r="H99" s="150"/>
      <c r="I99" s="146"/>
      <c r="J99" s="146"/>
      <c r="K99" s="147"/>
      <c r="L99" s="148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</row>
    <row r="100" spans="1:23" ht="12.75">
      <c r="A100" s="146"/>
      <c r="B100" s="146"/>
      <c r="C100" s="137" t="s">
        <v>2</v>
      </c>
      <c r="D100" s="137" t="s">
        <v>119</v>
      </c>
      <c r="E100" s="137"/>
      <c r="F100" s="138">
        <f>SUBTOTAL(9,F101:F103)</f>
        <v>800</v>
      </c>
      <c r="G100" s="138">
        <f>SUBTOTAL(9,G101:G103)</f>
        <v>800</v>
      </c>
      <c r="H100" s="138">
        <f>SUBTOTAL(9,H101:H103)</f>
        <v>0</v>
      </c>
      <c r="I100" s="138">
        <f aca="true" t="shared" si="26" ref="I100:V100">SUBTOTAL(9,I101:I103)</f>
        <v>0</v>
      </c>
      <c r="J100" s="138">
        <f t="shared" si="26"/>
        <v>0</v>
      </c>
      <c r="K100" s="138">
        <f t="shared" si="26"/>
        <v>0</v>
      </c>
      <c r="L100" s="138">
        <f t="shared" si="26"/>
        <v>0</v>
      </c>
      <c r="M100" s="138">
        <f t="shared" si="26"/>
        <v>0</v>
      </c>
      <c r="N100" s="138">
        <f t="shared" si="26"/>
        <v>0</v>
      </c>
      <c r="O100" s="138">
        <f t="shared" si="26"/>
        <v>0</v>
      </c>
      <c r="P100" s="138">
        <f t="shared" si="26"/>
        <v>0</v>
      </c>
      <c r="Q100" s="138">
        <f t="shared" si="26"/>
        <v>0</v>
      </c>
      <c r="R100" s="138">
        <f t="shared" si="26"/>
        <v>0</v>
      </c>
      <c r="S100" s="138">
        <f t="shared" si="26"/>
        <v>0</v>
      </c>
      <c r="T100" s="138">
        <f t="shared" si="26"/>
        <v>0</v>
      </c>
      <c r="U100" s="138">
        <f t="shared" si="26"/>
        <v>0</v>
      </c>
      <c r="V100" s="138">
        <f t="shared" si="26"/>
        <v>800</v>
      </c>
      <c r="W100" s="138">
        <f>SUBTOTAL(9,W101:W103)</f>
        <v>0</v>
      </c>
    </row>
    <row r="101" spans="1:23" ht="12.75" hidden="1">
      <c r="A101" s="146"/>
      <c r="B101" s="146"/>
      <c r="C101" s="146"/>
      <c r="D101" s="146"/>
      <c r="E101" s="146"/>
      <c r="F101" s="151"/>
      <c r="G101" s="151"/>
      <c r="H101" s="151"/>
      <c r="I101" s="146"/>
      <c r="J101" s="146"/>
      <c r="K101" s="152"/>
      <c r="L101" s="153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</row>
    <row r="102" spans="1:23" ht="12.75">
      <c r="A102" s="146"/>
      <c r="B102" s="146"/>
      <c r="C102" s="146"/>
      <c r="D102" s="146" t="s">
        <v>151</v>
      </c>
      <c r="E102" s="146" t="s">
        <v>152</v>
      </c>
      <c r="F102" s="151">
        <v>800</v>
      </c>
      <c r="G102" s="151">
        <v>800</v>
      </c>
      <c r="H102" s="151">
        <f>+F102-G102</f>
        <v>0</v>
      </c>
      <c r="I102" s="146"/>
      <c r="J102" s="146"/>
      <c r="K102" s="152"/>
      <c r="L102" s="153"/>
      <c r="M102" s="146"/>
      <c r="N102" s="146"/>
      <c r="O102" s="146"/>
      <c r="P102" s="146"/>
      <c r="Q102" s="146"/>
      <c r="R102" s="146"/>
      <c r="S102" s="146"/>
      <c r="T102" s="146"/>
      <c r="U102" s="155">
        <f>+I102+J102+K102+L102+M102+N102+O102+P102+Q102+R102+S102+T102</f>
        <v>0</v>
      </c>
      <c r="V102" s="155">
        <f>+F102-U102</f>
        <v>800</v>
      </c>
      <c r="W102" s="155">
        <f>+G102-V102</f>
        <v>0</v>
      </c>
    </row>
    <row r="103" spans="1:23" ht="12.75" hidden="1">
      <c r="A103" s="146"/>
      <c r="B103" s="146"/>
      <c r="C103" s="146">
        <v>3</v>
      </c>
      <c r="D103" s="146"/>
      <c r="E103" s="146"/>
      <c r="F103" s="151"/>
      <c r="G103" s="151"/>
      <c r="H103" s="151"/>
      <c r="I103" s="146"/>
      <c r="J103" s="146"/>
      <c r="K103" s="152"/>
      <c r="L103" s="153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</row>
    <row r="104" spans="1:23" ht="12.75">
      <c r="A104" s="146"/>
      <c r="B104" s="146"/>
      <c r="C104" s="137" t="s">
        <v>155</v>
      </c>
      <c r="D104" s="137" t="s">
        <v>156</v>
      </c>
      <c r="E104" s="137"/>
      <c r="F104" s="138">
        <f>SUBTOTAL(9,F105:F111)</f>
        <v>50000</v>
      </c>
      <c r="G104" s="138">
        <f>SUBTOTAL(9,G105:G111)</f>
        <v>95475</v>
      </c>
      <c r="H104" s="138">
        <f>SUBTOTAL(9,H105:H111)</f>
        <v>-45475</v>
      </c>
      <c r="I104" s="138">
        <f aca="true" t="shared" si="27" ref="I104:V104">SUBTOTAL(9,I105:I111)</f>
        <v>0</v>
      </c>
      <c r="J104" s="138">
        <f t="shared" si="27"/>
        <v>0</v>
      </c>
      <c r="K104" s="138">
        <f t="shared" si="27"/>
        <v>0</v>
      </c>
      <c r="L104" s="138">
        <f t="shared" si="27"/>
        <v>0</v>
      </c>
      <c r="M104" s="138">
        <f t="shared" si="27"/>
        <v>0</v>
      </c>
      <c r="N104" s="138">
        <f t="shared" si="27"/>
        <v>0</v>
      </c>
      <c r="O104" s="138">
        <f t="shared" si="27"/>
        <v>0</v>
      </c>
      <c r="P104" s="138">
        <f t="shared" si="27"/>
        <v>0</v>
      </c>
      <c r="Q104" s="138">
        <f t="shared" si="27"/>
        <v>0</v>
      </c>
      <c r="R104" s="138">
        <f t="shared" si="27"/>
        <v>0</v>
      </c>
      <c r="S104" s="138">
        <f t="shared" si="27"/>
        <v>0</v>
      </c>
      <c r="T104" s="138">
        <f t="shared" si="27"/>
        <v>0</v>
      </c>
      <c r="U104" s="138">
        <f t="shared" si="27"/>
        <v>0</v>
      </c>
      <c r="V104" s="138">
        <f t="shared" si="27"/>
        <v>50000</v>
      </c>
      <c r="W104" s="138">
        <f>SUBTOTAL(9,W105:W111)</f>
        <v>95475</v>
      </c>
    </row>
    <row r="105" spans="1:23" ht="12.75" hidden="1">
      <c r="A105" s="146"/>
      <c r="B105" s="146"/>
      <c r="C105" s="146"/>
      <c r="D105" s="146"/>
      <c r="E105" s="146"/>
      <c r="F105" s="151"/>
      <c r="G105" s="151"/>
      <c r="H105" s="151"/>
      <c r="I105" s="146"/>
      <c r="J105" s="146"/>
      <c r="K105" s="152"/>
      <c r="L105" s="153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</row>
    <row r="106" spans="1:23" ht="12.75">
      <c r="A106" s="146"/>
      <c r="B106" s="146"/>
      <c r="C106" s="146"/>
      <c r="D106" s="146" t="s">
        <v>17</v>
      </c>
      <c r="E106" s="146" t="s">
        <v>95</v>
      </c>
      <c r="F106" s="151">
        <v>5000</v>
      </c>
      <c r="G106" s="151">
        <v>14250</v>
      </c>
      <c r="H106" s="151">
        <f>+F106-G106</f>
        <v>-9250</v>
      </c>
      <c r="I106" s="146"/>
      <c r="J106" s="146"/>
      <c r="K106" s="152"/>
      <c r="L106" s="153"/>
      <c r="M106" s="146"/>
      <c r="N106" s="146"/>
      <c r="O106" s="146"/>
      <c r="P106" s="146"/>
      <c r="Q106" s="146"/>
      <c r="R106" s="146"/>
      <c r="S106" s="146"/>
      <c r="T106" s="146"/>
      <c r="U106" s="155">
        <f>+I106+J106+K106+L106+M106+N106+O106+P106+Q106+R106+S106+T106</f>
        <v>0</v>
      </c>
      <c r="V106" s="156">
        <f>+F106-U106</f>
        <v>5000</v>
      </c>
      <c r="W106" s="156">
        <f>+G106-U106</f>
        <v>14250</v>
      </c>
    </row>
    <row r="107" spans="1:23" ht="12.75">
      <c r="A107" s="146"/>
      <c r="B107" s="146"/>
      <c r="C107" s="146"/>
      <c r="D107" s="146" t="s">
        <v>26</v>
      </c>
      <c r="E107" s="146" t="s">
        <v>98</v>
      </c>
      <c r="F107" s="151">
        <v>5000</v>
      </c>
      <c r="G107" s="151">
        <v>0</v>
      </c>
      <c r="H107" s="151">
        <f>+F107-G107</f>
        <v>5000</v>
      </c>
      <c r="I107" s="146"/>
      <c r="J107" s="146"/>
      <c r="K107" s="152"/>
      <c r="L107" s="153"/>
      <c r="M107" s="146"/>
      <c r="N107" s="146"/>
      <c r="O107" s="146"/>
      <c r="P107" s="146"/>
      <c r="Q107" s="146"/>
      <c r="R107" s="146"/>
      <c r="S107" s="146"/>
      <c r="T107" s="146"/>
      <c r="U107" s="155">
        <f>+I107+J107+K107+L107+M107+N107+O107+P107+Q107+R107+S107+T107</f>
        <v>0</v>
      </c>
      <c r="V107" s="156">
        <f aca="true" t="shared" si="28" ref="V107:V112">+F107-U107</f>
        <v>5000</v>
      </c>
      <c r="W107" s="156">
        <f>+G107-U107</f>
        <v>0</v>
      </c>
    </row>
    <row r="108" spans="1:23" ht="12.75">
      <c r="A108" s="146"/>
      <c r="B108" s="146"/>
      <c r="C108" s="146"/>
      <c r="D108" s="146" t="s">
        <v>30</v>
      </c>
      <c r="E108" s="146" t="s">
        <v>81</v>
      </c>
      <c r="F108" s="151">
        <v>10000</v>
      </c>
      <c r="G108" s="151">
        <v>0</v>
      </c>
      <c r="H108" s="151">
        <f>+F108-G108</f>
        <v>10000</v>
      </c>
      <c r="I108" s="146"/>
      <c r="J108" s="146"/>
      <c r="K108" s="152"/>
      <c r="L108" s="153"/>
      <c r="M108" s="146"/>
      <c r="N108" s="146"/>
      <c r="O108" s="146"/>
      <c r="P108" s="146"/>
      <c r="Q108" s="146"/>
      <c r="R108" s="146"/>
      <c r="S108" s="146"/>
      <c r="T108" s="146"/>
      <c r="U108" s="155">
        <f>+I108+J108+K108+L108+M108+N108+O108+P108+Q108+R108+S108+T108</f>
        <v>0</v>
      </c>
      <c r="V108" s="156">
        <f t="shared" si="28"/>
        <v>10000</v>
      </c>
      <c r="W108" s="156">
        <f>+G108-U108</f>
        <v>0</v>
      </c>
    </row>
    <row r="109" spans="1:23" ht="12.75">
      <c r="A109" s="146"/>
      <c r="B109" s="146"/>
      <c r="C109" s="146"/>
      <c r="D109" s="146" t="s">
        <v>32</v>
      </c>
      <c r="E109" s="146" t="s">
        <v>56</v>
      </c>
      <c r="F109" s="151">
        <v>25000</v>
      </c>
      <c r="G109" s="151">
        <f>1900+19000+28500+3325+28500</f>
        <v>81225</v>
      </c>
      <c r="H109" s="151">
        <f>+F109-G109</f>
        <v>-56225</v>
      </c>
      <c r="I109" s="146"/>
      <c r="J109" s="146"/>
      <c r="K109" s="152"/>
      <c r="L109" s="153"/>
      <c r="M109" s="146"/>
      <c r="N109" s="146"/>
      <c r="O109" s="146"/>
      <c r="P109" s="146"/>
      <c r="Q109" s="146"/>
      <c r="R109" s="146"/>
      <c r="S109" s="146"/>
      <c r="T109" s="146"/>
      <c r="U109" s="155">
        <f>+I109+J109+K109+L109+M109+N109+O109+P109+Q109+R109+S109+T109</f>
        <v>0</v>
      </c>
      <c r="V109" s="156">
        <f t="shared" si="28"/>
        <v>25000</v>
      </c>
      <c r="W109" s="156">
        <f>+G109-U109</f>
        <v>81225</v>
      </c>
    </row>
    <row r="110" spans="1:23" ht="12.75">
      <c r="A110" s="146"/>
      <c r="B110" s="146"/>
      <c r="C110" s="146"/>
      <c r="D110" s="146" t="s">
        <v>38</v>
      </c>
      <c r="E110" s="146" t="s">
        <v>68</v>
      </c>
      <c r="F110" s="151">
        <v>5000</v>
      </c>
      <c r="G110" s="151">
        <v>0</v>
      </c>
      <c r="H110" s="151">
        <f>+F110-G110</f>
        <v>5000</v>
      </c>
      <c r="I110" s="146"/>
      <c r="J110" s="146"/>
      <c r="K110" s="152"/>
      <c r="L110" s="153"/>
      <c r="M110" s="146"/>
      <c r="N110" s="146"/>
      <c r="O110" s="146"/>
      <c r="P110" s="146"/>
      <c r="Q110" s="146"/>
      <c r="R110" s="146"/>
      <c r="S110" s="146"/>
      <c r="T110" s="146"/>
      <c r="U110" s="155">
        <f>+I110+J110+K110+L110+M110+N110+O110+P110+Q110+R110+S110+T110</f>
        <v>0</v>
      </c>
      <c r="V110" s="156">
        <f t="shared" si="28"/>
        <v>5000</v>
      </c>
      <c r="W110" s="156">
        <f>+G110-U110</f>
        <v>0</v>
      </c>
    </row>
    <row r="111" spans="1:23" ht="12.75" hidden="1">
      <c r="A111" s="146"/>
      <c r="B111" s="146"/>
      <c r="C111" s="146">
        <v>3</v>
      </c>
      <c r="D111" s="146"/>
      <c r="E111" s="146"/>
      <c r="F111" s="151"/>
      <c r="G111" s="151"/>
      <c r="H111" s="151"/>
      <c r="I111" s="146"/>
      <c r="J111" s="146"/>
      <c r="K111" s="152"/>
      <c r="L111" s="153"/>
      <c r="M111" s="146"/>
      <c r="N111" s="146"/>
      <c r="O111" s="146"/>
      <c r="P111" s="146"/>
      <c r="Q111" s="146"/>
      <c r="R111" s="146"/>
      <c r="S111" s="146"/>
      <c r="T111" s="146"/>
      <c r="U111" s="146"/>
      <c r="V111" s="155">
        <f t="shared" si="28"/>
        <v>0</v>
      </c>
      <c r="W111" s="146"/>
    </row>
    <row r="112" spans="1:23" ht="19.5" customHeight="1" hidden="1">
      <c r="A112" s="146"/>
      <c r="B112" s="146"/>
      <c r="C112" s="146">
        <v>2</v>
      </c>
      <c r="D112" s="146"/>
      <c r="E112" s="146"/>
      <c r="F112" s="154"/>
      <c r="G112" s="154"/>
      <c r="H112" s="154"/>
      <c r="I112" s="146"/>
      <c r="J112" s="146"/>
      <c r="K112" s="158"/>
      <c r="L112" s="153"/>
      <c r="M112" s="146"/>
      <c r="N112" s="146"/>
      <c r="O112" s="146"/>
      <c r="P112" s="146"/>
      <c r="Q112" s="146"/>
      <c r="R112" s="146"/>
      <c r="S112" s="146"/>
      <c r="T112" s="146"/>
      <c r="U112" s="146"/>
      <c r="V112" s="155">
        <f t="shared" si="28"/>
        <v>0</v>
      </c>
      <c r="W112" s="146"/>
    </row>
    <row r="113" spans="1:23" ht="23.25" customHeight="1">
      <c r="A113" s="146"/>
      <c r="B113" s="149" t="s">
        <v>157</v>
      </c>
      <c r="C113" s="149" t="s">
        <v>158</v>
      </c>
      <c r="D113" s="149"/>
      <c r="E113" s="149"/>
      <c r="F113" s="150">
        <f>SUBTOTAL(9,F114:F130)</f>
        <v>39132747</v>
      </c>
      <c r="G113" s="150">
        <f>SUBTOTAL(9,G114:G130)</f>
        <v>39793747</v>
      </c>
      <c r="H113" s="150">
        <f>SUBTOTAL(9,H114:H130)</f>
        <v>-661000</v>
      </c>
      <c r="I113" s="150">
        <f aca="true" t="shared" si="29" ref="I113:V113">SUBTOTAL(9,I114:I130)</f>
        <v>119500</v>
      </c>
      <c r="J113" s="150">
        <f t="shared" si="29"/>
        <v>82750</v>
      </c>
      <c r="K113" s="150">
        <f t="shared" si="29"/>
        <v>329375</v>
      </c>
      <c r="L113" s="150">
        <f t="shared" si="29"/>
        <v>0</v>
      </c>
      <c r="M113" s="150">
        <f t="shared" si="29"/>
        <v>0</v>
      </c>
      <c r="N113" s="150">
        <f t="shared" si="29"/>
        <v>0</v>
      </c>
      <c r="O113" s="150">
        <f t="shared" si="29"/>
        <v>0</v>
      </c>
      <c r="P113" s="150">
        <f t="shared" si="29"/>
        <v>0</v>
      </c>
      <c r="Q113" s="150">
        <f t="shared" si="29"/>
        <v>0</v>
      </c>
      <c r="R113" s="150">
        <f t="shared" si="29"/>
        <v>0</v>
      </c>
      <c r="S113" s="150">
        <f t="shared" si="29"/>
        <v>0</v>
      </c>
      <c r="T113" s="150">
        <f t="shared" si="29"/>
        <v>0</v>
      </c>
      <c r="U113" s="150">
        <f t="shared" si="29"/>
        <v>531625</v>
      </c>
      <c r="V113" s="150">
        <f t="shared" si="29"/>
        <v>38601122</v>
      </c>
      <c r="W113" s="150">
        <f>SUBTOTAL(9,W114:W130)</f>
        <v>39262122</v>
      </c>
    </row>
    <row r="114" spans="1:23" ht="30" customHeight="1" hidden="1">
      <c r="A114" s="146"/>
      <c r="B114" s="149"/>
      <c r="C114" s="149"/>
      <c r="D114" s="149"/>
      <c r="E114" s="149"/>
      <c r="F114" s="150"/>
      <c r="G114" s="150"/>
      <c r="H114" s="150"/>
      <c r="I114" s="146"/>
      <c r="J114" s="146"/>
      <c r="K114" s="147"/>
      <c r="L114" s="148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</row>
    <row r="115" spans="1:23" ht="12.75">
      <c r="A115" s="146"/>
      <c r="B115" s="146"/>
      <c r="C115" s="137" t="s">
        <v>159</v>
      </c>
      <c r="D115" s="137" t="s">
        <v>160</v>
      </c>
      <c r="E115" s="137"/>
      <c r="F115" s="138">
        <f>SUBTOTAL(9,F116:F129)</f>
        <v>39132747</v>
      </c>
      <c r="G115" s="138">
        <f>SUBTOTAL(9,G116:G129)</f>
        <v>39793747</v>
      </c>
      <c r="H115" s="138">
        <f>SUBTOTAL(9,H116:H129)</f>
        <v>-661000</v>
      </c>
      <c r="I115" s="138">
        <f aca="true" t="shared" si="30" ref="I115:V115">SUBTOTAL(9,I116:I129)</f>
        <v>119500</v>
      </c>
      <c r="J115" s="138">
        <f t="shared" si="30"/>
        <v>82750</v>
      </c>
      <c r="K115" s="138">
        <f t="shared" si="30"/>
        <v>329375</v>
      </c>
      <c r="L115" s="138">
        <f t="shared" si="30"/>
        <v>0</v>
      </c>
      <c r="M115" s="138">
        <f t="shared" si="30"/>
        <v>0</v>
      </c>
      <c r="N115" s="138">
        <f t="shared" si="30"/>
        <v>0</v>
      </c>
      <c r="O115" s="138">
        <f t="shared" si="30"/>
        <v>0</v>
      </c>
      <c r="P115" s="138">
        <f t="shared" si="30"/>
        <v>0</v>
      </c>
      <c r="Q115" s="138">
        <f t="shared" si="30"/>
        <v>0</v>
      </c>
      <c r="R115" s="138">
        <f t="shared" si="30"/>
        <v>0</v>
      </c>
      <c r="S115" s="138">
        <f t="shared" si="30"/>
        <v>0</v>
      </c>
      <c r="T115" s="138">
        <f t="shared" si="30"/>
        <v>0</v>
      </c>
      <c r="U115" s="138">
        <f t="shared" si="30"/>
        <v>531625</v>
      </c>
      <c r="V115" s="138">
        <f t="shared" si="30"/>
        <v>38601122</v>
      </c>
      <c r="W115" s="138">
        <f>SUBTOTAL(9,W116:W129)</f>
        <v>39262122</v>
      </c>
    </row>
    <row r="116" spans="1:23" ht="14.25" customHeight="1">
      <c r="A116" s="146"/>
      <c r="B116" s="146"/>
      <c r="C116" s="146"/>
      <c r="D116" s="146"/>
      <c r="E116" s="146"/>
      <c r="F116" s="151"/>
      <c r="G116" s="151"/>
      <c r="H116" s="151"/>
      <c r="I116" s="146"/>
      <c r="J116" s="146"/>
      <c r="K116" s="152"/>
      <c r="L116" s="153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</row>
    <row r="117" spans="1:23" ht="12.75">
      <c r="A117" s="146"/>
      <c r="B117" s="146"/>
      <c r="C117" s="146"/>
      <c r="D117" s="146" t="s">
        <v>17</v>
      </c>
      <c r="E117" s="146" t="s">
        <v>95</v>
      </c>
      <c r="F117" s="151">
        <v>17500</v>
      </c>
      <c r="G117" s="151">
        <v>17500</v>
      </c>
      <c r="H117" s="151">
        <f>+F117-G117</f>
        <v>0</v>
      </c>
      <c r="I117" s="146"/>
      <c r="J117" s="154"/>
      <c r="K117" s="152"/>
      <c r="L117" s="153"/>
      <c r="M117" s="146"/>
      <c r="N117" s="146"/>
      <c r="O117" s="146"/>
      <c r="P117" s="146"/>
      <c r="Q117" s="146"/>
      <c r="R117" s="146"/>
      <c r="S117" s="146"/>
      <c r="T117" s="146"/>
      <c r="U117" s="156">
        <f>+I117+J117+K117+L117+M117+N117+O117+P117+Q117+R117+S117+T117</f>
        <v>0</v>
      </c>
      <c r="V117" s="156">
        <f aca="true" t="shared" si="31" ref="V117:V122">+F117-U117</f>
        <v>17500</v>
      </c>
      <c r="W117" s="156">
        <f>+G117-U117</f>
        <v>17500</v>
      </c>
    </row>
    <row r="118" spans="1:23" ht="12.75">
      <c r="A118" s="146"/>
      <c r="B118" s="146"/>
      <c r="C118" s="146"/>
      <c r="D118" s="146">
        <v>3224</v>
      </c>
      <c r="E118" s="204" t="s">
        <v>212</v>
      </c>
      <c r="F118" s="151">
        <v>0</v>
      </c>
      <c r="G118" s="207">
        <v>302000</v>
      </c>
      <c r="H118" s="151">
        <f aca="true" t="shared" si="32" ref="H118:H128">+F118-G118</f>
        <v>-302000</v>
      </c>
      <c r="I118" s="146"/>
      <c r="J118" s="154"/>
      <c r="K118" s="152"/>
      <c r="L118" s="153"/>
      <c r="M118" s="146"/>
      <c r="N118" s="146"/>
      <c r="O118" s="146"/>
      <c r="P118" s="146"/>
      <c r="Q118" s="146"/>
      <c r="R118" s="146"/>
      <c r="S118" s="146"/>
      <c r="T118" s="146"/>
      <c r="U118" s="156"/>
      <c r="V118" s="156">
        <f t="shared" si="31"/>
        <v>0</v>
      </c>
      <c r="W118" s="156">
        <f aca="true" t="shared" si="33" ref="W118:W128">+G118-U118</f>
        <v>302000</v>
      </c>
    </row>
    <row r="119" spans="1:23" ht="12.75">
      <c r="A119" s="146"/>
      <c r="B119" s="146"/>
      <c r="C119" s="146"/>
      <c r="D119" s="146" t="s">
        <v>21</v>
      </c>
      <c r="E119" s="146" t="s">
        <v>78</v>
      </c>
      <c r="F119" s="151">
        <v>25000</v>
      </c>
      <c r="G119" s="151">
        <v>25000</v>
      </c>
      <c r="H119" s="151">
        <f t="shared" si="32"/>
        <v>0</v>
      </c>
      <c r="I119" s="146"/>
      <c r="J119" s="146"/>
      <c r="K119" s="152"/>
      <c r="L119" s="153"/>
      <c r="M119" s="146"/>
      <c r="N119" s="146"/>
      <c r="O119" s="146"/>
      <c r="P119" s="146"/>
      <c r="Q119" s="146"/>
      <c r="R119" s="146"/>
      <c r="S119" s="146"/>
      <c r="T119" s="146"/>
      <c r="U119" s="156">
        <f aca="true" t="shared" si="34" ref="U119:U128">+I119+J119+K119+L119+M119+N119+O119+P119+Q119+R119+S119+T119</f>
        <v>0</v>
      </c>
      <c r="V119" s="156">
        <f t="shared" si="31"/>
        <v>25000</v>
      </c>
      <c r="W119" s="156">
        <f t="shared" si="33"/>
        <v>25000</v>
      </c>
    </row>
    <row r="120" spans="1:23" ht="12.75">
      <c r="A120" s="146"/>
      <c r="B120" s="146"/>
      <c r="C120" s="146"/>
      <c r="D120" s="146" t="s">
        <v>24</v>
      </c>
      <c r="E120" s="146" t="s">
        <v>100</v>
      </c>
      <c r="F120" s="151">
        <v>50000</v>
      </c>
      <c r="G120" s="207">
        <f>100000+600000</f>
        <v>700000</v>
      </c>
      <c r="H120" s="151">
        <f t="shared" si="32"/>
        <v>-650000</v>
      </c>
      <c r="I120" s="146"/>
      <c r="J120" s="154"/>
      <c r="K120" s="152"/>
      <c r="L120" s="153"/>
      <c r="M120" s="146"/>
      <c r="N120" s="146"/>
      <c r="O120" s="146"/>
      <c r="P120" s="146"/>
      <c r="Q120" s="146"/>
      <c r="R120" s="146"/>
      <c r="S120" s="146"/>
      <c r="T120" s="146"/>
      <c r="U120" s="156">
        <f t="shared" si="34"/>
        <v>0</v>
      </c>
      <c r="V120" s="156">
        <f t="shared" si="31"/>
        <v>50000</v>
      </c>
      <c r="W120" s="156">
        <f t="shared" si="33"/>
        <v>700000</v>
      </c>
    </row>
    <row r="121" spans="1:23" ht="12.75">
      <c r="A121" s="146"/>
      <c r="B121" s="146"/>
      <c r="C121" s="146"/>
      <c r="D121" s="146" t="s">
        <v>25</v>
      </c>
      <c r="E121" s="146" t="s">
        <v>104</v>
      </c>
      <c r="F121" s="151">
        <v>257500</v>
      </c>
      <c r="G121" s="207">
        <f>515000+202000</f>
        <v>717000</v>
      </c>
      <c r="H121" s="151">
        <f t="shared" si="32"/>
        <v>-459500</v>
      </c>
      <c r="I121" s="146"/>
      <c r="J121" s="146"/>
      <c r="K121" s="152"/>
      <c r="L121" s="153"/>
      <c r="M121" s="146"/>
      <c r="N121" s="146"/>
      <c r="O121" s="146"/>
      <c r="P121" s="146"/>
      <c r="Q121" s="146"/>
      <c r="R121" s="146"/>
      <c r="S121" s="146"/>
      <c r="T121" s="146"/>
      <c r="U121" s="156">
        <f t="shared" si="34"/>
        <v>0</v>
      </c>
      <c r="V121" s="156">
        <f t="shared" si="31"/>
        <v>257500</v>
      </c>
      <c r="W121" s="156">
        <f t="shared" si="33"/>
        <v>717000</v>
      </c>
    </row>
    <row r="122" spans="1:23" ht="12.75">
      <c r="A122" s="146"/>
      <c r="B122" s="146"/>
      <c r="C122" s="146"/>
      <c r="D122" s="146">
        <v>32352</v>
      </c>
      <c r="E122" s="204" t="s">
        <v>214</v>
      </c>
      <c r="F122" s="151"/>
      <c r="G122" s="207"/>
      <c r="H122" s="151"/>
      <c r="I122" s="146"/>
      <c r="J122" s="146"/>
      <c r="K122" s="152"/>
      <c r="L122" s="153"/>
      <c r="M122" s="146"/>
      <c r="N122" s="146"/>
      <c r="O122" s="146"/>
      <c r="P122" s="146"/>
      <c r="Q122" s="146"/>
      <c r="R122" s="146"/>
      <c r="S122" s="146"/>
      <c r="T122" s="146"/>
      <c r="U122" s="156"/>
      <c r="V122" s="156">
        <f t="shared" si="31"/>
        <v>0</v>
      </c>
      <c r="W122" s="156">
        <f t="shared" si="33"/>
        <v>0</v>
      </c>
    </row>
    <row r="123" spans="1:23" ht="12.75">
      <c r="A123" s="146"/>
      <c r="B123" s="146"/>
      <c r="C123" s="146"/>
      <c r="D123" s="146" t="s">
        <v>30</v>
      </c>
      <c r="E123" s="146" t="s">
        <v>81</v>
      </c>
      <c r="F123" s="151">
        <v>1172997</v>
      </c>
      <c r="G123" s="151">
        <v>1172997</v>
      </c>
      <c r="H123" s="151">
        <f t="shared" si="32"/>
        <v>0</v>
      </c>
      <c r="I123" s="146"/>
      <c r="J123" s="156">
        <v>47250</v>
      </c>
      <c r="K123" s="152"/>
      <c r="L123" s="153"/>
      <c r="M123" s="146"/>
      <c r="N123" s="146"/>
      <c r="O123" s="146"/>
      <c r="P123" s="146"/>
      <c r="Q123" s="146"/>
      <c r="R123" s="146"/>
      <c r="S123" s="146"/>
      <c r="T123" s="146"/>
      <c r="U123" s="156">
        <f t="shared" si="34"/>
        <v>47250</v>
      </c>
      <c r="V123" s="156">
        <f aca="true" t="shared" si="35" ref="V123:V128">+F123-U123</f>
        <v>1125747</v>
      </c>
      <c r="W123" s="156">
        <f t="shared" si="33"/>
        <v>1125747</v>
      </c>
    </row>
    <row r="124" spans="1:23" ht="12.75">
      <c r="A124" s="146"/>
      <c r="B124" s="146"/>
      <c r="C124" s="146"/>
      <c r="D124" s="146" t="s">
        <v>32</v>
      </c>
      <c r="E124" s="146" t="s">
        <v>56</v>
      </c>
      <c r="F124" s="151">
        <v>0</v>
      </c>
      <c r="G124" s="151"/>
      <c r="H124" s="151">
        <f t="shared" si="32"/>
        <v>0</v>
      </c>
      <c r="I124" s="146"/>
      <c r="J124" s="146"/>
      <c r="K124" s="152"/>
      <c r="L124" s="153"/>
      <c r="M124" s="146"/>
      <c r="N124" s="146"/>
      <c r="O124" s="146"/>
      <c r="P124" s="146"/>
      <c r="Q124" s="146"/>
      <c r="R124" s="146"/>
      <c r="S124" s="146"/>
      <c r="T124" s="146"/>
      <c r="U124" s="156">
        <f t="shared" si="34"/>
        <v>0</v>
      </c>
      <c r="V124" s="156">
        <f t="shared" si="35"/>
        <v>0</v>
      </c>
      <c r="W124" s="156">
        <f t="shared" si="33"/>
        <v>0</v>
      </c>
    </row>
    <row r="125" spans="1:23" ht="12.75">
      <c r="A125" s="146"/>
      <c r="B125" s="146"/>
      <c r="C125" s="146"/>
      <c r="D125" s="146" t="s">
        <v>142</v>
      </c>
      <c r="E125" s="146" t="s">
        <v>143</v>
      </c>
      <c r="F125" s="151">
        <v>23125000</v>
      </c>
      <c r="G125" s="151">
        <v>21825000</v>
      </c>
      <c r="H125" s="151">
        <f t="shared" si="32"/>
        <v>1300000</v>
      </c>
      <c r="I125" s="156">
        <v>119500</v>
      </c>
      <c r="J125" s="146"/>
      <c r="K125" s="152"/>
      <c r="L125" s="153"/>
      <c r="M125" s="146"/>
      <c r="N125" s="146"/>
      <c r="O125" s="146"/>
      <c r="P125" s="146"/>
      <c r="Q125" s="146"/>
      <c r="R125" s="146"/>
      <c r="S125" s="146"/>
      <c r="T125" s="146"/>
      <c r="U125" s="156">
        <f t="shared" si="34"/>
        <v>119500</v>
      </c>
      <c r="V125" s="156">
        <f t="shared" si="35"/>
        <v>23005500</v>
      </c>
      <c r="W125" s="156">
        <f t="shared" si="33"/>
        <v>21705500</v>
      </c>
    </row>
    <row r="126" spans="1:23" ht="12.75">
      <c r="A126" s="146"/>
      <c r="B126" s="146"/>
      <c r="C126" s="146"/>
      <c r="D126" s="146" t="s">
        <v>144</v>
      </c>
      <c r="E126" s="146" t="s">
        <v>145</v>
      </c>
      <c r="F126" s="151">
        <v>212500</v>
      </c>
      <c r="G126" s="207">
        <v>662000</v>
      </c>
      <c r="H126" s="151">
        <f t="shared" si="32"/>
        <v>-449500</v>
      </c>
      <c r="I126" s="146"/>
      <c r="J126" s="146"/>
      <c r="K126" s="152"/>
      <c r="L126" s="153"/>
      <c r="M126" s="146"/>
      <c r="N126" s="146"/>
      <c r="O126" s="146"/>
      <c r="P126" s="146"/>
      <c r="Q126" s="146"/>
      <c r="R126" s="146"/>
      <c r="S126" s="146"/>
      <c r="T126" s="146"/>
      <c r="U126" s="156">
        <f t="shared" si="34"/>
        <v>0</v>
      </c>
      <c r="V126" s="156">
        <f t="shared" si="35"/>
        <v>212500</v>
      </c>
      <c r="W126" s="156">
        <f t="shared" si="33"/>
        <v>662000</v>
      </c>
    </row>
    <row r="127" spans="1:23" ht="12.75">
      <c r="A127" s="146"/>
      <c r="B127" s="146"/>
      <c r="C127" s="146"/>
      <c r="D127" s="146">
        <v>42273</v>
      </c>
      <c r="E127" s="146" t="s">
        <v>215</v>
      </c>
      <c r="F127" s="151">
        <v>0</v>
      </c>
      <c r="G127" s="207">
        <v>100000</v>
      </c>
      <c r="H127" s="151">
        <f t="shared" si="32"/>
        <v>-100000</v>
      </c>
      <c r="I127" s="146"/>
      <c r="J127" s="146"/>
      <c r="K127" s="152"/>
      <c r="L127" s="153"/>
      <c r="M127" s="146"/>
      <c r="N127" s="146"/>
      <c r="O127" s="146"/>
      <c r="P127" s="146"/>
      <c r="Q127" s="146"/>
      <c r="R127" s="146"/>
      <c r="S127" s="146"/>
      <c r="T127" s="146"/>
      <c r="U127" s="156">
        <f>+I127+J127+K127+L127+M127+N127+O127+P127+Q127+R127+S127+T127</f>
        <v>0</v>
      </c>
      <c r="V127" s="156">
        <f>+F127-U127</f>
        <v>0</v>
      </c>
      <c r="W127" s="156">
        <f>+G127-U127</f>
        <v>100000</v>
      </c>
    </row>
    <row r="128" spans="1:23" ht="12.75">
      <c r="A128" s="146"/>
      <c r="B128" s="146"/>
      <c r="C128" s="146"/>
      <c r="D128" s="146" t="s">
        <v>161</v>
      </c>
      <c r="E128" s="146" t="s">
        <v>162</v>
      </c>
      <c r="F128" s="151">
        <v>14272250</v>
      </c>
      <c r="G128" s="151">
        <v>14272250</v>
      </c>
      <c r="H128" s="151">
        <f t="shared" si="32"/>
        <v>0</v>
      </c>
      <c r="I128" s="146"/>
      <c r="J128" s="156">
        <v>35500</v>
      </c>
      <c r="K128" s="152">
        <f>225000+104375</f>
        <v>329375</v>
      </c>
      <c r="L128" s="153"/>
      <c r="M128" s="146"/>
      <c r="N128" s="146"/>
      <c r="O128" s="146"/>
      <c r="P128" s="146"/>
      <c r="Q128" s="146"/>
      <c r="R128" s="146"/>
      <c r="S128" s="146"/>
      <c r="T128" s="146"/>
      <c r="U128" s="156">
        <f t="shared" si="34"/>
        <v>364875</v>
      </c>
      <c r="V128" s="156">
        <f t="shared" si="35"/>
        <v>13907375</v>
      </c>
      <c r="W128" s="156">
        <f t="shared" si="33"/>
        <v>13907375</v>
      </c>
    </row>
    <row r="129" spans="1:23" ht="12" customHeight="1">
      <c r="A129" s="146"/>
      <c r="B129" s="146"/>
      <c r="C129" s="146">
        <v>3</v>
      </c>
      <c r="D129" s="146"/>
      <c r="E129" s="146"/>
      <c r="F129" s="151"/>
      <c r="G129" s="151"/>
      <c r="H129" s="151"/>
      <c r="I129" s="146"/>
      <c r="J129" s="146"/>
      <c r="K129" s="152"/>
      <c r="L129" s="153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</row>
    <row r="130" spans="1:23" ht="11.25" customHeight="1">
      <c r="A130" s="146"/>
      <c r="B130" s="146"/>
      <c r="C130" s="146">
        <v>2</v>
      </c>
      <c r="D130" s="146"/>
      <c r="E130" s="146"/>
      <c r="F130" s="154"/>
      <c r="G130" s="154"/>
      <c r="H130" s="154"/>
      <c r="I130" s="146"/>
      <c r="J130" s="146"/>
      <c r="K130" s="158"/>
      <c r="L130" s="153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</row>
    <row r="131" spans="1:23" ht="11.25" customHeight="1">
      <c r="A131" s="146"/>
      <c r="B131" s="146"/>
      <c r="C131" s="146">
        <v>1</v>
      </c>
      <c r="D131" s="146"/>
      <c r="E131" s="146"/>
      <c r="F131" s="154"/>
      <c r="G131" s="154"/>
      <c r="H131" s="154"/>
      <c r="I131" s="146"/>
      <c r="J131" s="146"/>
      <c r="K131" s="158"/>
      <c r="L131" s="153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</row>
    <row r="132" spans="1:23" ht="12" customHeight="1">
      <c r="A132" s="146"/>
      <c r="B132" s="146"/>
      <c r="C132" s="146" t="s">
        <v>163</v>
      </c>
      <c r="D132" s="146"/>
      <c r="E132" s="146"/>
      <c r="F132" s="154"/>
      <c r="G132" s="154"/>
      <c r="H132" s="154"/>
      <c r="I132" s="146"/>
      <c r="J132" s="146"/>
      <c r="K132" s="158"/>
      <c r="L132" s="153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</row>
    <row r="133" spans="1:23" ht="27.75" customHeight="1">
      <c r="A133" s="162" t="s">
        <v>55</v>
      </c>
      <c r="B133" s="162"/>
      <c r="C133" s="162"/>
      <c r="D133" s="162"/>
      <c r="E133" s="162"/>
      <c r="F133" s="163">
        <f>SUBTOTAL(9,F14:F132)</f>
        <v>47073410.81</v>
      </c>
      <c r="G133" s="163">
        <f>SUBTOTAL(9,G14:G132)</f>
        <v>49227156.76</v>
      </c>
      <c r="H133" s="163"/>
      <c r="I133" s="163">
        <f aca="true" t="shared" si="36" ref="I133:W133">SUBTOTAL(9,I14:I132)</f>
        <v>493027.5500000001</v>
      </c>
      <c r="J133" s="163">
        <f t="shared" si="36"/>
        <v>657535.1499999999</v>
      </c>
      <c r="K133" s="163">
        <f>SUBTOTAL(9,K14:K132)</f>
        <v>825543.01</v>
      </c>
      <c r="L133" s="163">
        <f t="shared" si="36"/>
        <v>0</v>
      </c>
      <c r="M133" s="163">
        <f t="shared" si="36"/>
        <v>0</v>
      </c>
      <c r="N133" s="163">
        <f t="shared" si="36"/>
        <v>0</v>
      </c>
      <c r="O133" s="163">
        <f t="shared" si="36"/>
        <v>0</v>
      </c>
      <c r="P133" s="163">
        <f t="shared" si="36"/>
        <v>0</v>
      </c>
      <c r="Q133" s="163">
        <f t="shared" si="36"/>
        <v>0</v>
      </c>
      <c r="R133" s="163">
        <f t="shared" si="36"/>
        <v>0</v>
      </c>
      <c r="S133" s="163">
        <f t="shared" si="36"/>
        <v>0</v>
      </c>
      <c r="T133" s="163">
        <f t="shared" si="36"/>
        <v>0</v>
      </c>
      <c r="U133" s="163">
        <f t="shared" si="36"/>
        <v>1966105.7099999993</v>
      </c>
      <c r="V133" s="163">
        <f t="shared" si="36"/>
        <v>45107305.1</v>
      </c>
      <c r="W133" s="163">
        <f t="shared" si="36"/>
        <v>47244840.989999995</v>
      </c>
    </row>
    <row r="134" spans="11:12" ht="12.75">
      <c r="K134" s="164"/>
      <c r="L134" s="164"/>
    </row>
    <row r="135" spans="11:12" ht="12.75">
      <c r="K135" s="164"/>
      <c r="L135" s="164"/>
    </row>
    <row r="136" spans="7:12" ht="12.75">
      <c r="G136" s="208">
        <f>+G133-G138</f>
        <v>9433409.759999998</v>
      </c>
      <c r="K136" s="164"/>
      <c r="L136" s="164"/>
    </row>
    <row r="138" spans="2:23" ht="12.75">
      <c r="B138" s="149" t="s">
        <v>157</v>
      </c>
      <c r="C138" s="149" t="s">
        <v>158</v>
      </c>
      <c r="D138" s="149"/>
      <c r="E138" s="149"/>
      <c r="F138" s="150">
        <f>SUBTOTAL(9,F139:F155)</f>
        <v>39132747</v>
      </c>
      <c r="G138" s="150">
        <f>SUBTOTAL(9,G139:G155)</f>
        <v>39793747</v>
      </c>
      <c r="H138" s="150">
        <f>SUBTOTAL(9,H139:H155)</f>
        <v>-661000</v>
      </c>
      <c r="I138" s="150">
        <f aca="true" t="shared" si="37" ref="I138:V138">SUBTOTAL(9,I139:I155)</f>
        <v>119500</v>
      </c>
      <c r="J138" s="150">
        <f t="shared" si="37"/>
        <v>82750</v>
      </c>
      <c r="K138" s="150">
        <f t="shared" si="37"/>
        <v>329375</v>
      </c>
      <c r="L138" s="150">
        <f t="shared" si="37"/>
        <v>0</v>
      </c>
      <c r="M138" s="150">
        <f t="shared" si="37"/>
        <v>0</v>
      </c>
      <c r="N138" s="150">
        <f t="shared" si="37"/>
        <v>0</v>
      </c>
      <c r="O138" s="150">
        <f t="shared" si="37"/>
        <v>0</v>
      </c>
      <c r="P138" s="150">
        <f t="shared" si="37"/>
        <v>0</v>
      </c>
      <c r="Q138" s="150">
        <f t="shared" si="37"/>
        <v>0</v>
      </c>
      <c r="R138" s="150">
        <f t="shared" si="37"/>
        <v>0</v>
      </c>
      <c r="S138" s="150">
        <f t="shared" si="37"/>
        <v>0</v>
      </c>
      <c r="T138" s="150">
        <f t="shared" si="37"/>
        <v>0</v>
      </c>
      <c r="U138" s="150">
        <f t="shared" si="37"/>
        <v>531625</v>
      </c>
      <c r="V138" s="150">
        <f t="shared" si="37"/>
        <v>38601122</v>
      </c>
      <c r="W138" s="150">
        <f>SUBTOTAL(9,W139:W155)</f>
        <v>39262122</v>
      </c>
    </row>
    <row r="139" spans="2:23" ht="12.75">
      <c r="B139" s="149"/>
      <c r="C139" s="149"/>
      <c r="D139" s="149"/>
      <c r="E139" s="149"/>
      <c r="F139" s="150"/>
      <c r="G139" s="150"/>
      <c r="H139" s="150"/>
      <c r="I139" s="146"/>
      <c r="J139" s="146"/>
      <c r="K139" s="147"/>
      <c r="L139" s="148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</row>
    <row r="140" spans="2:23" ht="12.75">
      <c r="B140" s="146"/>
      <c r="C140" s="137" t="s">
        <v>159</v>
      </c>
      <c r="D140" s="137" t="s">
        <v>160</v>
      </c>
      <c r="E140" s="137"/>
      <c r="F140" s="138">
        <f>SUBTOTAL(9,F141:F154)</f>
        <v>39132747</v>
      </c>
      <c r="G140" s="138">
        <f>SUBTOTAL(9,G141:G154)</f>
        <v>39793747</v>
      </c>
      <c r="H140" s="138">
        <f>SUBTOTAL(9,H141:H154)</f>
        <v>-661000</v>
      </c>
      <c r="I140" s="138">
        <f aca="true" t="shared" si="38" ref="I140:V140">SUBTOTAL(9,I141:I154)</f>
        <v>119500</v>
      </c>
      <c r="J140" s="138">
        <f t="shared" si="38"/>
        <v>82750</v>
      </c>
      <c r="K140" s="138">
        <f t="shared" si="38"/>
        <v>329375</v>
      </c>
      <c r="L140" s="138">
        <f t="shared" si="38"/>
        <v>0</v>
      </c>
      <c r="M140" s="138">
        <f t="shared" si="38"/>
        <v>0</v>
      </c>
      <c r="N140" s="138">
        <f t="shared" si="38"/>
        <v>0</v>
      </c>
      <c r="O140" s="138">
        <f t="shared" si="38"/>
        <v>0</v>
      </c>
      <c r="P140" s="138">
        <f t="shared" si="38"/>
        <v>0</v>
      </c>
      <c r="Q140" s="138">
        <f t="shared" si="38"/>
        <v>0</v>
      </c>
      <c r="R140" s="138">
        <f t="shared" si="38"/>
        <v>0</v>
      </c>
      <c r="S140" s="138">
        <f t="shared" si="38"/>
        <v>0</v>
      </c>
      <c r="T140" s="138">
        <f t="shared" si="38"/>
        <v>0</v>
      </c>
      <c r="U140" s="138">
        <f t="shared" si="38"/>
        <v>531625</v>
      </c>
      <c r="V140" s="138">
        <f t="shared" si="38"/>
        <v>38601122</v>
      </c>
      <c r="W140" s="138">
        <f>SUBTOTAL(9,W141:W154)</f>
        <v>39262122</v>
      </c>
    </row>
    <row r="141" spans="2:23" ht="12.75">
      <c r="B141" s="146"/>
      <c r="C141" s="146"/>
      <c r="D141" s="146"/>
      <c r="E141" s="146"/>
      <c r="F141" s="151"/>
      <c r="G141" s="151"/>
      <c r="H141" s="151"/>
      <c r="I141" s="146"/>
      <c r="J141" s="146"/>
      <c r="K141" s="152"/>
      <c r="L141" s="153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</row>
    <row r="142" spans="2:23" ht="12.75">
      <c r="B142" s="146"/>
      <c r="C142" s="146"/>
      <c r="D142" s="146" t="s">
        <v>17</v>
      </c>
      <c r="E142" s="146" t="s">
        <v>95</v>
      </c>
      <c r="F142" s="151">
        <v>17500</v>
      </c>
      <c r="G142" s="151">
        <v>17500</v>
      </c>
      <c r="H142" s="151">
        <f>+F142-G142</f>
        <v>0</v>
      </c>
      <c r="I142" s="146"/>
      <c r="J142" s="154"/>
      <c r="K142" s="152"/>
      <c r="L142" s="153"/>
      <c r="M142" s="146"/>
      <c r="N142" s="146"/>
      <c r="O142" s="146"/>
      <c r="P142" s="146"/>
      <c r="Q142" s="146"/>
      <c r="R142" s="146"/>
      <c r="S142" s="146"/>
      <c r="T142" s="146"/>
      <c r="U142" s="156">
        <f>+I142+J142+K142+L142+M142+N142+O142+P142+Q142+R142+S142+T142</f>
        <v>0</v>
      </c>
      <c r="V142" s="156">
        <f>+F142-U142</f>
        <v>17500</v>
      </c>
      <c r="W142" s="156">
        <f>+G142-U142</f>
        <v>17500</v>
      </c>
    </row>
    <row r="143" spans="2:23" ht="12.75">
      <c r="B143" s="146"/>
      <c r="C143" s="146"/>
      <c r="D143" s="146">
        <v>3224</v>
      </c>
      <c r="E143" s="204" t="s">
        <v>212</v>
      </c>
      <c r="F143" s="151">
        <v>0</v>
      </c>
      <c r="G143" s="207">
        <v>302000</v>
      </c>
      <c r="H143" s="151">
        <f aca="true" t="shared" si="39" ref="H143:H153">+F143-G143</f>
        <v>-302000</v>
      </c>
      <c r="I143" s="146"/>
      <c r="J143" s="154"/>
      <c r="K143" s="152"/>
      <c r="L143" s="153"/>
      <c r="M143" s="146"/>
      <c r="N143" s="146"/>
      <c r="O143" s="146"/>
      <c r="P143" s="146"/>
      <c r="Q143" s="146"/>
      <c r="R143" s="146"/>
      <c r="S143" s="146"/>
      <c r="T143" s="146"/>
      <c r="U143" s="156"/>
      <c r="V143" s="156">
        <f aca="true" t="shared" si="40" ref="V143:V153">+F143-U143</f>
        <v>0</v>
      </c>
      <c r="W143" s="156">
        <f aca="true" t="shared" si="41" ref="W143:W153">+G143-U143</f>
        <v>302000</v>
      </c>
    </row>
    <row r="144" spans="2:23" ht="12.75">
      <c r="B144" s="146"/>
      <c r="C144" s="146"/>
      <c r="D144" s="146" t="s">
        <v>21</v>
      </c>
      <c r="E144" s="146" t="s">
        <v>78</v>
      </c>
      <c r="F144" s="151">
        <v>25000</v>
      </c>
      <c r="G144" s="151">
        <v>25000</v>
      </c>
      <c r="H144" s="151">
        <f t="shared" si="39"/>
        <v>0</v>
      </c>
      <c r="I144" s="146"/>
      <c r="J144" s="146"/>
      <c r="K144" s="152"/>
      <c r="L144" s="153"/>
      <c r="M144" s="146"/>
      <c r="N144" s="146"/>
      <c r="O144" s="146"/>
      <c r="P144" s="146"/>
      <c r="Q144" s="146"/>
      <c r="R144" s="146"/>
      <c r="S144" s="146"/>
      <c r="T144" s="146"/>
      <c r="U144" s="156">
        <f>+I144+J144+K144+L144+M144+N144+O144+P144+Q144+R144+S144+T144</f>
        <v>0</v>
      </c>
      <c r="V144" s="156">
        <f t="shared" si="40"/>
        <v>25000</v>
      </c>
      <c r="W144" s="156">
        <f t="shared" si="41"/>
        <v>25000</v>
      </c>
    </row>
    <row r="145" spans="2:23" ht="12.75">
      <c r="B145" s="146"/>
      <c r="C145" s="146"/>
      <c r="D145" s="146" t="s">
        <v>24</v>
      </c>
      <c r="E145" s="146" t="s">
        <v>100</v>
      </c>
      <c r="F145" s="151">
        <v>50000</v>
      </c>
      <c r="G145" s="207">
        <f>100000+600000</f>
        <v>700000</v>
      </c>
      <c r="H145" s="151">
        <f t="shared" si="39"/>
        <v>-650000</v>
      </c>
      <c r="I145" s="146"/>
      <c r="J145" s="154"/>
      <c r="K145" s="152"/>
      <c r="L145" s="153"/>
      <c r="M145" s="146"/>
      <c r="N145" s="146"/>
      <c r="O145" s="146"/>
      <c r="P145" s="146"/>
      <c r="Q145" s="146"/>
      <c r="R145" s="146"/>
      <c r="S145" s="146"/>
      <c r="T145" s="146"/>
      <c r="U145" s="156">
        <f>+I145+J145+K145+L145+M145+N145+O145+P145+Q145+R145+S145+T145</f>
        <v>0</v>
      </c>
      <c r="V145" s="156">
        <f t="shared" si="40"/>
        <v>50000</v>
      </c>
      <c r="W145" s="156">
        <f t="shared" si="41"/>
        <v>700000</v>
      </c>
    </row>
    <row r="146" spans="2:23" ht="12.75">
      <c r="B146" s="146"/>
      <c r="C146" s="146"/>
      <c r="D146" s="146" t="s">
        <v>25</v>
      </c>
      <c r="E146" s="146" t="s">
        <v>104</v>
      </c>
      <c r="F146" s="151">
        <v>257500</v>
      </c>
      <c r="G146" s="207">
        <f>515000+202000</f>
        <v>717000</v>
      </c>
      <c r="H146" s="151">
        <f t="shared" si="39"/>
        <v>-459500</v>
      </c>
      <c r="I146" s="146"/>
      <c r="J146" s="146"/>
      <c r="K146" s="152"/>
      <c r="L146" s="153"/>
      <c r="M146" s="146"/>
      <c r="N146" s="146"/>
      <c r="O146" s="146"/>
      <c r="P146" s="146"/>
      <c r="Q146" s="146"/>
      <c r="R146" s="146"/>
      <c r="S146" s="146"/>
      <c r="T146" s="146"/>
      <c r="U146" s="156">
        <f>+I146+J146+K146+L146+M146+N146+O146+P146+Q146+R146+S146+T146</f>
        <v>0</v>
      </c>
      <c r="V146" s="156">
        <f t="shared" si="40"/>
        <v>257500</v>
      </c>
      <c r="W146" s="156">
        <f t="shared" si="41"/>
        <v>717000</v>
      </c>
    </row>
    <row r="147" spans="2:23" ht="12.75">
      <c r="B147" s="146"/>
      <c r="C147" s="146"/>
      <c r="D147" s="146">
        <v>32352</v>
      </c>
      <c r="E147" s="204" t="s">
        <v>214</v>
      </c>
      <c r="F147" s="151"/>
      <c r="G147" s="207"/>
      <c r="H147" s="151"/>
      <c r="I147" s="146"/>
      <c r="J147" s="146"/>
      <c r="K147" s="152"/>
      <c r="L147" s="153"/>
      <c r="M147" s="146"/>
      <c r="N147" s="146"/>
      <c r="O147" s="146"/>
      <c r="P147" s="146"/>
      <c r="Q147" s="146"/>
      <c r="R147" s="146"/>
      <c r="S147" s="146"/>
      <c r="T147" s="146"/>
      <c r="U147" s="156"/>
      <c r="V147" s="156">
        <f t="shared" si="40"/>
        <v>0</v>
      </c>
      <c r="W147" s="156">
        <f t="shared" si="41"/>
        <v>0</v>
      </c>
    </row>
    <row r="148" spans="2:23" ht="12.75">
      <c r="B148" s="146"/>
      <c r="C148" s="146"/>
      <c r="D148" s="146" t="s">
        <v>30</v>
      </c>
      <c r="E148" s="146" t="s">
        <v>81</v>
      </c>
      <c r="F148" s="151">
        <v>1172997</v>
      </c>
      <c r="G148" s="151">
        <v>1172997</v>
      </c>
      <c r="H148" s="151">
        <f t="shared" si="39"/>
        <v>0</v>
      </c>
      <c r="I148" s="146"/>
      <c r="J148" s="156">
        <v>47250</v>
      </c>
      <c r="K148" s="152"/>
      <c r="L148" s="153"/>
      <c r="M148" s="146"/>
      <c r="N148" s="146"/>
      <c r="O148" s="146"/>
      <c r="P148" s="146"/>
      <c r="Q148" s="146"/>
      <c r="R148" s="146"/>
      <c r="S148" s="146"/>
      <c r="T148" s="146"/>
      <c r="U148" s="156">
        <f aca="true" t="shared" si="42" ref="U148:U153">+I148+J148+K148+L148+M148+N148+O148+P148+Q148+R148+S148+T148</f>
        <v>47250</v>
      </c>
      <c r="V148" s="156">
        <f t="shared" si="40"/>
        <v>1125747</v>
      </c>
      <c r="W148" s="156">
        <f t="shared" si="41"/>
        <v>1125747</v>
      </c>
    </row>
    <row r="149" spans="2:23" ht="12.75">
      <c r="B149" s="146"/>
      <c r="C149" s="146"/>
      <c r="D149" s="146" t="s">
        <v>32</v>
      </c>
      <c r="E149" s="146" t="s">
        <v>56</v>
      </c>
      <c r="F149" s="151">
        <v>0</v>
      </c>
      <c r="G149" s="151"/>
      <c r="H149" s="151">
        <f t="shared" si="39"/>
        <v>0</v>
      </c>
      <c r="I149" s="146"/>
      <c r="J149" s="146"/>
      <c r="K149" s="152"/>
      <c r="L149" s="153"/>
      <c r="M149" s="146"/>
      <c r="N149" s="146"/>
      <c r="O149" s="146"/>
      <c r="P149" s="146"/>
      <c r="Q149" s="146"/>
      <c r="R149" s="146"/>
      <c r="S149" s="146"/>
      <c r="T149" s="146"/>
      <c r="U149" s="156">
        <f t="shared" si="42"/>
        <v>0</v>
      </c>
      <c r="V149" s="156">
        <f t="shared" si="40"/>
        <v>0</v>
      </c>
      <c r="W149" s="156">
        <f t="shared" si="41"/>
        <v>0</v>
      </c>
    </row>
    <row r="150" spans="2:23" ht="12.75">
      <c r="B150" s="146"/>
      <c r="C150" s="146"/>
      <c r="D150" s="146" t="s">
        <v>142</v>
      </c>
      <c r="E150" s="146" t="s">
        <v>143</v>
      </c>
      <c r="F150" s="151">
        <v>23125000</v>
      </c>
      <c r="G150" s="151">
        <f>23125000-1300000</f>
        <v>21825000</v>
      </c>
      <c r="H150" s="151">
        <f t="shared" si="39"/>
        <v>1300000</v>
      </c>
      <c r="I150" s="156">
        <v>119500</v>
      </c>
      <c r="J150" s="146"/>
      <c r="K150" s="152"/>
      <c r="L150" s="153"/>
      <c r="M150" s="146"/>
      <c r="N150" s="146"/>
      <c r="O150" s="146"/>
      <c r="P150" s="146"/>
      <c r="Q150" s="146"/>
      <c r="R150" s="146"/>
      <c r="S150" s="146"/>
      <c r="T150" s="146"/>
      <c r="U150" s="156">
        <f t="shared" si="42"/>
        <v>119500</v>
      </c>
      <c r="V150" s="156">
        <f t="shared" si="40"/>
        <v>23005500</v>
      </c>
      <c r="W150" s="156">
        <f t="shared" si="41"/>
        <v>21705500</v>
      </c>
    </row>
    <row r="151" spans="2:23" ht="12.75">
      <c r="B151" s="146"/>
      <c r="C151" s="146"/>
      <c r="D151" s="146" t="s">
        <v>144</v>
      </c>
      <c r="E151" s="146" t="s">
        <v>145</v>
      </c>
      <c r="F151" s="151">
        <v>212500</v>
      </c>
      <c r="G151" s="207">
        <f>425000+237000</f>
        <v>662000</v>
      </c>
      <c r="H151" s="151">
        <f t="shared" si="39"/>
        <v>-449500</v>
      </c>
      <c r="I151" s="146"/>
      <c r="J151" s="146"/>
      <c r="K151" s="152"/>
      <c r="L151" s="153"/>
      <c r="M151" s="146"/>
      <c r="N151" s="146"/>
      <c r="O151" s="146"/>
      <c r="P151" s="146"/>
      <c r="Q151" s="146"/>
      <c r="R151" s="146"/>
      <c r="S151" s="146"/>
      <c r="T151" s="146"/>
      <c r="U151" s="156">
        <f t="shared" si="42"/>
        <v>0</v>
      </c>
      <c r="V151" s="156">
        <f t="shared" si="40"/>
        <v>212500</v>
      </c>
      <c r="W151" s="156">
        <f t="shared" si="41"/>
        <v>662000</v>
      </c>
    </row>
    <row r="152" spans="2:23" ht="12.75">
      <c r="B152" s="146"/>
      <c r="C152" s="146"/>
      <c r="D152" s="146">
        <v>42273</v>
      </c>
      <c r="E152" s="146" t="s">
        <v>215</v>
      </c>
      <c r="F152" s="151">
        <v>0</v>
      </c>
      <c r="G152" s="207">
        <v>100000</v>
      </c>
      <c r="H152" s="151">
        <f t="shared" si="39"/>
        <v>-100000</v>
      </c>
      <c r="I152" s="146"/>
      <c r="J152" s="146"/>
      <c r="K152" s="152"/>
      <c r="L152" s="153"/>
      <c r="M152" s="146"/>
      <c r="N152" s="146"/>
      <c r="O152" s="146"/>
      <c r="P152" s="146"/>
      <c r="Q152" s="146"/>
      <c r="R152" s="146"/>
      <c r="S152" s="146"/>
      <c r="T152" s="146"/>
      <c r="U152" s="156">
        <f t="shared" si="42"/>
        <v>0</v>
      </c>
      <c r="V152" s="156">
        <f t="shared" si="40"/>
        <v>0</v>
      </c>
      <c r="W152" s="156">
        <f t="shared" si="41"/>
        <v>100000</v>
      </c>
    </row>
    <row r="153" spans="2:23" ht="12.75">
      <c r="B153" s="146"/>
      <c r="C153" s="146"/>
      <c r="D153" s="146" t="s">
        <v>161</v>
      </c>
      <c r="E153" s="146" t="s">
        <v>162</v>
      </c>
      <c r="F153" s="151">
        <v>14272250</v>
      </c>
      <c r="G153" s="151">
        <f>14933250-661000</f>
        <v>14272250</v>
      </c>
      <c r="H153" s="151">
        <f t="shared" si="39"/>
        <v>0</v>
      </c>
      <c r="I153" s="146"/>
      <c r="J153" s="156">
        <v>35500</v>
      </c>
      <c r="K153" s="152">
        <f>225000+104375</f>
        <v>329375</v>
      </c>
      <c r="L153" s="153"/>
      <c r="M153" s="146"/>
      <c r="N153" s="146"/>
      <c r="O153" s="146"/>
      <c r="P153" s="146"/>
      <c r="Q153" s="146"/>
      <c r="R153" s="146"/>
      <c r="S153" s="146"/>
      <c r="T153" s="146"/>
      <c r="U153" s="156">
        <f t="shared" si="42"/>
        <v>364875</v>
      </c>
      <c r="V153" s="156">
        <f t="shared" si="40"/>
        <v>13907375</v>
      </c>
      <c r="W153" s="156">
        <f t="shared" si="41"/>
        <v>13907375</v>
      </c>
    </row>
    <row r="154" spans="2:23" ht="12.75">
      <c r="B154" s="146"/>
      <c r="C154" s="146">
        <v>3</v>
      </c>
      <c r="D154" s="146"/>
      <c r="E154" s="146"/>
      <c r="F154" s="151"/>
      <c r="G154" s="151"/>
      <c r="H154" s="151"/>
      <c r="I154" s="146"/>
      <c r="J154" s="146"/>
      <c r="K154" s="152"/>
      <c r="L154" s="153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</row>
    <row r="155" spans="2:23" ht="12.75">
      <c r="B155" s="146"/>
      <c r="C155" s="146">
        <v>2</v>
      </c>
      <c r="D155" s="146"/>
      <c r="E155" s="146"/>
      <c r="F155" s="154"/>
      <c r="G155" s="154"/>
      <c r="H155" s="154"/>
      <c r="I155" s="146"/>
      <c r="J155" s="146"/>
      <c r="K155" s="158"/>
      <c r="L155" s="153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</row>
    <row r="156" spans="2:23" ht="12.75">
      <c r="B156" s="146"/>
      <c r="C156" s="146">
        <v>1</v>
      </c>
      <c r="D156" s="146"/>
      <c r="E156" s="146"/>
      <c r="F156" s="154"/>
      <c r="G156" s="154"/>
      <c r="H156" s="154"/>
      <c r="I156" s="146"/>
      <c r="J156" s="146"/>
      <c r="K156" s="158"/>
      <c r="L156" s="153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</row>
    <row r="157" spans="2:23" ht="12.75">
      <c r="B157" s="146"/>
      <c r="C157" s="146" t="s">
        <v>163</v>
      </c>
      <c r="D157" s="146"/>
      <c r="E157" s="146"/>
      <c r="F157" s="154"/>
      <c r="G157" s="154"/>
      <c r="H157" s="154"/>
      <c r="I157" s="146"/>
      <c r="J157" s="146"/>
      <c r="K157" s="158"/>
      <c r="L157" s="153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</row>
    <row r="158" spans="2:23" ht="12.75">
      <c r="B158" s="162"/>
      <c r="C158" s="162"/>
      <c r="D158" s="162"/>
      <c r="E158" s="162"/>
      <c r="F158" s="163">
        <f>SUBTOTAL(9,F39:F157)</f>
        <v>80149502</v>
      </c>
      <c r="G158" s="163">
        <f>SUBTOTAL(9,G39:G157)</f>
        <v>91186036.28</v>
      </c>
      <c r="H158" s="163"/>
      <c r="I158" s="163">
        <f>SUBTOTAL(9,I39:I157)</f>
        <v>277415.55</v>
      </c>
      <c r="J158" s="163">
        <f>SUBTOTAL(9,J39:J157)</f>
        <v>284060.54000000004</v>
      </c>
      <c r="K158" s="163">
        <f>SUBTOTAL(9,K39:K157)</f>
        <v>667557.64</v>
      </c>
      <c r="L158" s="163">
        <f aca="true" t="shared" si="43" ref="L158:W158">SUBTOTAL(9,L39:L157)</f>
        <v>0</v>
      </c>
      <c r="M158" s="163">
        <f t="shared" si="43"/>
        <v>0</v>
      </c>
      <c r="N158" s="163">
        <f t="shared" si="43"/>
        <v>0</v>
      </c>
      <c r="O158" s="163">
        <f t="shared" si="43"/>
        <v>0</v>
      </c>
      <c r="P158" s="163">
        <f t="shared" si="43"/>
        <v>0</v>
      </c>
      <c r="Q158" s="163">
        <f t="shared" si="43"/>
        <v>0</v>
      </c>
      <c r="R158" s="163">
        <f t="shared" si="43"/>
        <v>0</v>
      </c>
      <c r="S158" s="163">
        <f t="shared" si="43"/>
        <v>0</v>
      </c>
      <c r="T158" s="163">
        <f t="shared" si="43"/>
        <v>0</v>
      </c>
      <c r="U158" s="163">
        <f t="shared" si="43"/>
        <v>1219033.73</v>
      </c>
      <c r="V158" s="163">
        <f t="shared" si="43"/>
        <v>78930468.27</v>
      </c>
      <c r="W158" s="163">
        <f t="shared" si="43"/>
        <v>80517382.73</v>
      </c>
    </row>
    <row r="160" ht="12.75">
      <c r="F160" s="208">
        <f>+F142+F144+F145+F146+F148+F150+F151+F153</f>
        <v>39132747</v>
      </c>
    </row>
  </sheetData>
  <sheetProtection/>
  <mergeCells count="1">
    <mergeCell ref="A3:V3"/>
  </mergeCells>
  <conditionalFormatting sqref="M53:M54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T63"/>
  <sheetViews>
    <sheetView zoomScalePageLayoutView="0" workbookViewId="0" topLeftCell="A10">
      <selection activeCell="E26" sqref="E26"/>
    </sheetView>
  </sheetViews>
  <sheetFormatPr defaultColWidth="9.140625" defaultRowHeight="15"/>
  <cols>
    <col min="2" max="4" width="14.28125" style="0" customWidth="1"/>
    <col min="5" max="7" width="18.57421875" style="0" customWidth="1"/>
    <col min="8" max="20" width="14.7109375" style="0" customWidth="1"/>
  </cols>
  <sheetData>
    <row r="4" spans="1:8" ht="20.25">
      <c r="A4" s="270" t="s">
        <v>205</v>
      </c>
      <c r="B4" s="270"/>
      <c r="C4" s="270"/>
      <c r="D4" s="270"/>
      <c r="E4" s="270"/>
      <c r="F4" s="270"/>
      <c r="G4" s="270"/>
      <c r="H4" s="270"/>
    </row>
    <row r="5" spans="1:8" ht="20.25">
      <c r="A5" s="167"/>
      <c r="H5" s="168"/>
    </row>
    <row r="6" spans="1:8" ht="20.25">
      <c r="A6" s="167"/>
      <c r="H6" s="168"/>
    </row>
    <row r="7" spans="1:20" ht="30">
      <c r="A7" s="169" t="s">
        <v>52</v>
      </c>
      <c r="B7" s="169" t="s">
        <v>91</v>
      </c>
      <c r="C7" s="169" t="s">
        <v>49</v>
      </c>
      <c r="D7" s="169" t="s">
        <v>61</v>
      </c>
      <c r="E7" s="169" t="str">
        <f>CONCATENATE("Naziv"," ",D7)</f>
        <v>Naziv Konto 4. razina</v>
      </c>
      <c r="F7" s="7" t="s">
        <v>182</v>
      </c>
      <c r="G7" s="196">
        <v>44562</v>
      </c>
      <c r="H7" s="196">
        <v>44593</v>
      </c>
      <c r="I7" s="196">
        <v>44621</v>
      </c>
      <c r="J7" s="196">
        <v>44652</v>
      </c>
      <c r="K7" s="196">
        <v>44682</v>
      </c>
      <c r="L7" s="196">
        <v>44713</v>
      </c>
      <c r="M7" s="196">
        <v>44743</v>
      </c>
      <c r="N7" s="196">
        <v>44774</v>
      </c>
      <c r="O7" s="196">
        <v>44805</v>
      </c>
      <c r="P7" s="196">
        <v>44835</v>
      </c>
      <c r="Q7" s="196">
        <v>44866</v>
      </c>
      <c r="R7" s="196">
        <v>44896</v>
      </c>
      <c r="S7" s="196" t="s">
        <v>207</v>
      </c>
      <c r="T7" s="196" t="s">
        <v>206</v>
      </c>
    </row>
    <row r="8" spans="1:20" ht="15">
      <c r="A8" s="170">
        <v>1</v>
      </c>
      <c r="B8" s="170">
        <v>2</v>
      </c>
      <c r="C8" s="170">
        <v>3</v>
      </c>
      <c r="D8" s="170">
        <v>4</v>
      </c>
      <c r="E8" s="170">
        <v>6</v>
      </c>
      <c r="F8" s="171">
        <v>6</v>
      </c>
      <c r="G8" s="171">
        <v>7</v>
      </c>
      <c r="H8" s="171">
        <v>8</v>
      </c>
      <c r="I8" s="171">
        <v>8</v>
      </c>
      <c r="J8" s="171">
        <v>8</v>
      </c>
      <c r="K8" s="171">
        <v>8</v>
      </c>
      <c r="L8" s="171">
        <v>8</v>
      </c>
      <c r="M8" s="171">
        <v>8</v>
      </c>
      <c r="N8" s="171">
        <v>8</v>
      </c>
      <c r="O8" s="171">
        <v>8</v>
      </c>
      <c r="P8" s="171">
        <v>8</v>
      </c>
      <c r="Q8" s="171">
        <v>8</v>
      </c>
      <c r="R8" s="171">
        <v>8</v>
      </c>
      <c r="S8" s="171"/>
      <c r="T8" s="171">
        <v>8</v>
      </c>
    </row>
    <row r="9" spans="1:20" ht="15.75">
      <c r="A9" s="172" t="s">
        <v>6</v>
      </c>
      <c r="B9" s="172" t="s">
        <v>77</v>
      </c>
      <c r="C9" s="173"/>
      <c r="D9" s="173"/>
      <c r="E9" s="173"/>
      <c r="F9" s="174">
        <f>SUBTOTAL(9,F10:F58)</f>
        <v>88870098.77</v>
      </c>
      <c r="G9" s="174">
        <f aca="true" t="shared" si="0" ref="G9:T9">SUBTOTAL(9,G10:G58)</f>
        <v>364324.51000000007</v>
      </c>
      <c r="H9" s="174">
        <f t="shared" si="0"/>
        <v>600191.4</v>
      </c>
      <c r="I9" s="174">
        <f t="shared" si="0"/>
        <v>711525.13</v>
      </c>
      <c r="J9" s="174">
        <f t="shared" si="0"/>
        <v>0</v>
      </c>
      <c r="K9" s="174">
        <f t="shared" si="0"/>
        <v>0</v>
      </c>
      <c r="L9" s="174">
        <f t="shared" si="0"/>
        <v>0</v>
      </c>
      <c r="M9" s="174">
        <f t="shared" si="0"/>
        <v>0</v>
      </c>
      <c r="N9" s="174">
        <f t="shared" si="0"/>
        <v>0</v>
      </c>
      <c r="O9" s="174">
        <f t="shared" si="0"/>
        <v>0</v>
      </c>
      <c r="P9" s="174">
        <f t="shared" si="0"/>
        <v>0</v>
      </c>
      <c r="Q9" s="174">
        <f t="shared" si="0"/>
        <v>0</v>
      </c>
      <c r="R9" s="174">
        <f t="shared" si="0"/>
        <v>0</v>
      </c>
      <c r="S9" s="174"/>
      <c r="T9" s="174">
        <f t="shared" si="0"/>
        <v>0</v>
      </c>
    </row>
    <row r="10" spans="1:20" ht="15.75">
      <c r="A10" s="175"/>
      <c r="B10" s="176"/>
      <c r="C10" s="176"/>
      <c r="D10" s="176"/>
      <c r="E10" s="176"/>
      <c r="F10" s="177"/>
      <c r="G10" s="177"/>
      <c r="H10" s="177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</row>
    <row r="11" spans="1:20" ht="15">
      <c r="A11" s="178"/>
      <c r="B11" s="179" t="s">
        <v>53</v>
      </c>
      <c r="C11" s="179" t="s">
        <v>87</v>
      </c>
      <c r="D11" s="179"/>
      <c r="E11" s="180"/>
      <c r="F11" s="181">
        <f>SUBTOTAL(9,F12:F17)</f>
        <v>7180471.25</v>
      </c>
      <c r="G11" s="181">
        <f aca="true" t="shared" si="1" ref="G11:T11">SUBTOTAL(9,G12:G17)</f>
        <v>331530.15</v>
      </c>
      <c r="H11" s="181">
        <f t="shared" si="1"/>
        <v>503613.52</v>
      </c>
      <c r="I11" s="181">
        <f t="shared" si="1"/>
        <v>471149</v>
      </c>
      <c r="J11" s="181">
        <f t="shared" si="1"/>
        <v>0</v>
      </c>
      <c r="K11" s="181">
        <f t="shared" si="1"/>
        <v>0</v>
      </c>
      <c r="L11" s="181">
        <f t="shared" si="1"/>
        <v>0</v>
      </c>
      <c r="M11" s="181">
        <f t="shared" si="1"/>
        <v>0</v>
      </c>
      <c r="N11" s="181">
        <f t="shared" si="1"/>
        <v>0</v>
      </c>
      <c r="O11" s="181">
        <f t="shared" si="1"/>
        <v>0</v>
      </c>
      <c r="P11" s="181">
        <f t="shared" si="1"/>
        <v>0</v>
      </c>
      <c r="Q11" s="181">
        <f t="shared" si="1"/>
        <v>0</v>
      </c>
      <c r="R11" s="181">
        <f t="shared" si="1"/>
        <v>0</v>
      </c>
      <c r="S11" s="181"/>
      <c r="T11" s="181">
        <f t="shared" si="1"/>
        <v>0</v>
      </c>
    </row>
    <row r="12" spans="1:20" ht="15">
      <c r="A12" s="182"/>
      <c r="B12" s="182"/>
      <c r="C12" s="183"/>
      <c r="D12" s="183"/>
      <c r="E12" s="183"/>
      <c r="F12" s="184"/>
      <c r="G12" s="178"/>
      <c r="H12" s="184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1:20" ht="15">
      <c r="A13" s="178"/>
      <c r="B13" s="183"/>
      <c r="C13" s="185" t="s">
        <v>1</v>
      </c>
      <c r="D13" s="185" t="s">
        <v>76</v>
      </c>
      <c r="E13" s="185"/>
      <c r="F13" s="186">
        <f>SUBTOTAL(9,F14:F16)</f>
        <v>7180471.25</v>
      </c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</row>
    <row r="14" spans="1:20" ht="15">
      <c r="A14" s="178"/>
      <c r="B14" s="183"/>
      <c r="C14" s="187"/>
      <c r="D14" s="187"/>
      <c r="E14" s="187"/>
      <c r="F14" s="188"/>
      <c r="G14" s="178"/>
      <c r="H14" s="18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20" ht="15">
      <c r="A15" s="178"/>
      <c r="B15" s="183"/>
      <c r="C15" s="187"/>
      <c r="D15" s="189" t="s">
        <v>183</v>
      </c>
      <c r="E15" s="189" t="s">
        <v>184</v>
      </c>
      <c r="F15" s="190">
        <v>7180471.25</v>
      </c>
      <c r="G15" s="190">
        <v>331530.15</v>
      </c>
      <c r="H15" s="190">
        <v>503613.52</v>
      </c>
      <c r="I15" s="190">
        <v>471149</v>
      </c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</row>
    <row r="16" spans="1:20" ht="15">
      <c r="A16" s="178"/>
      <c r="B16" s="183"/>
      <c r="C16" s="187"/>
      <c r="D16" s="187"/>
      <c r="E16" s="187"/>
      <c r="F16" s="188"/>
      <c r="G16" s="178"/>
      <c r="H16" s="18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1:20" ht="15">
      <c r="A17" s="178"/>
      <c r="B17" s="178"/>
      <c r="C17" s="178"/>
      <c r="D17" s="178"/>
      <c r="E17" s="178"/>
      <c r="F17" s="191"/>
      <c r="G17" s="178"/>
      <c r="H17" s="192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</row>
    <row r="18" spans="1:20" ht="15">
      <c r="A18" s="178"/>
      <c r="B18" s="179" t="s">
        <v>121</v>
      </c>
      <c r="C18" s="179" t="s">
        <v>139</v>
      </c>
      <c r="D18" s="179"/>
      <c r="E18" s="180"/>
      <c r="F18" s="181">
        <f>SUBTOTAL(9,F19:F25)</f>
        <v>1919937.52</v>
      </c>
      <c r="G18" s="181">
        <f aca="true" t="shared" si="2" ref="G18:T18">SUBTOTAL(9,G19:G25)</f>
        <v>27110.84</v>
      </c>
      <c r="H18" s="181">
        <f t="shared" si="2"/>
        <v>85264.03</v>
      </c>
      <c r="I18" s="181">
        <f t="shared" si="2"/>
        <v>19979.64</v>
      </c>
      <c r="J18" s="181">
        <f t="shared" si="2"/>
        <v>0</v>
      </c>
      <c r="K18" s="181">
        <f t="shared" si="2"/>
        <v>0</v>
      </c>
      <c r="L18" s="181">
        <f t="shared" si="2"/>
        <v>0</v>
      </c>
      <c r="M18" s="181">
        <f t="shared" si="2"/>
        <v>0</v>
      </c>
      <c r="N18" s="181">
        <f t="shared" si="2"/>
        <v>0</v>
      </c>
      <c r="O18" s="181">
        <f t="shared" si="2"/>
        <v>0</v>
      </c>
      <c r="P18" s="181">
        <f t="shared" si="2"/>
        <v>0</v>
      </c>
      <c r="Q18" s="181">
        <f t="shared" si="2"/>
        <v>0</v>
      </c>
      <c r="R18" s="181">
        <f t="shared" si="2"/>
        <v>0</v>
      </c>
      <c r="S18" s="181"/>
      <c r="T18" s="181">
        <f t="shared" si="2"/>
        <v>0</v>
      </c>
    </row>
    <row r="19" spans="1:20" ht="15">
      <c r="A19" s="182"/>
      <c r="B19" s="182"/>
      <c r="C19" s="183"/>
      <c r="D19" s="183"/>
      <c r="E19" s="183"/>
      <c r="F19" s="184"/>
      <c r="G19" s="178"/>
      <c r="H19" s="184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</row>
    <row r="20" spans="1:20" ht="15">
      <c r="A20" s="178"/>
      <c r="B20" s="183"/>
      <c r="C20" s="185" t="s">
        <v>1</v>
      </c>
      <c r="D20" s="185" t="s">
        <v>76</v>
      </c>
      <c r="E20" s="185"/>
      <c r="F20" s="186">
        <f>SUBTOTAL(9,F21:F24)</f>
        <v>1919937.52</v>
      </c>
      <c r="G20" s="186">
        <f aca="true" t="shared" si="3" ref="G20:T20">SUBTOTAL(9,G21:G24)</f>
        <v>27110.84</v>
      </c>
      <c r="H20" s="186">
        <f t="shared" si="3"/>
        <v>85264.03</v>
      </c>
      <c r="I20" s="186">
        <f t="shared" si="3"/>
        <v>19979.64</v>
      </c>
      <c r="J20" s="186">
        <f t="shared" si="3"/>
        <v>0</v>
      </c>
      <c r="K20" s="186">
        <f t="shared" si="3"/>
        <v>0</v>
      </c>
      <c r="L20" s="186">
        <f t="shared" si="3"/>
        <v>0</v>
      </c>
      <c r="M20" s="186">
        <f t="shared" si="3"/>
        <v>0</v>
      </c>
      <c r="N20" s="186">
        <f t="shared" si="3"/>
        <v>0</v>
      </c>
      <c r="O20" s="186">
        <f t="shared" si="3"/>
        <v>0</v>
      </c>
      <c r="P20" s="186">
        <f t="shared" si="3"/>
        <v>0</v>
      </c>
      <c r="Q20" s="186">
        <f t="shared" si="3"/>
        <v>0</v>
      </c>
      <c r="R20" s="186">
        <f t="shared" si="3"/>
        <v>0</v>
      </c>
      <c r="S20" s="186"/>
      <c r="T20" s="186">
        <f t="shared" si="3"/>
        <v>0</v>
      </c>
    </row>
    <row r="21" spans="1:20" ht="15">
      <c r="A21" s="178"/>
      <c r="B21" s="183"/>
      <c r="C21" s="187"/>
      <c r="D21" s="187"/>
      <c r="E21" s="187"/>
      <c r="F21" s="188"/>
      <c r="G21" s="178"/>
      <c r="H21" s="18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1:20" ht="15">
      <c r="A22" s="178"/>
      <c r="B22" s="183"/>
      <c r="C22" s="187"/>
      <c r="D22" s="189" t="s">
        <v>183</v>
      </c>
      <c r="E22" s="189" t="s">
        <v>184</v>
      </c>
      <c r="F22" s="208">
        <v>1510104.52</v>
      </c>
      <c r="G22" s="190"/>
      <c r="H22" s="190">
        <v>17200.63</v>
      </c>
      <c r="I22" s="190">
        <v>7128.75</v>
      </c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</row>
    <row r="23" spans="1:20" ht="15">
      <c r="A23" s="178"/>
      <c r="B23" s="183"/>
      <c r="C23" s="187"/>
      <c r="D23" s="189" t="s">
        <v>185</v>
      </c>
      <c r="E23" s="189" t="s">
        <v>186</v>
      </c>
      <c r="F23" s="190">
        <v>409833</v>
      </c>
      <c r="G23" s="190">
        <v>27110.84</v>
      </c>
      <c r="H23" s="190">
        <v>68063.4</v>
      </c>
      <c r="I23" s="190">
        <v>12850.89</v>
      </c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</row>
    <row r="24" spans="1:20" ht="15">
      <c r="A24" s="178"/>
      <c r="B24" s="183"/>
      <c r="C24" s="187"/>
      <c r="D24" s="187"/>
      <c r="E24" s="187"/>
      <c r="F24" s="188"/>
      <c r="G24" s="178"/>
      <c r="H24" s="18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1:20" ht="15">
      <c r="A25" s="178"/>
      <c r="B25" s="178"/>
      <c r="C25" s="178"/>
      <c r="D25" s="178"/>
      <c r="E25" s="178"/>
      <c r="F25" s="191"/>
      <c r="G25" s="178"/>
      <c r="H25" s="192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</row>
    <row r="26" spans="1:20" ht="15">
      <c r="A26" s="178"/>
      <c r="B26" s="179" t="s">
        <v>146</v>
      </c>
      <c r="C26" s="179" t="s">
        <v>147</v>
      </c>
      <c r="D26" s="179"/>
      <c r="E26" s="180"/>
      <c r="F26" s="181">
        <f>SUBTOTAL(9,F27:F39)</f>
        <v>85920</v>
      </c>
      <c r="G26" s="181">
        <f aca="true" t="shared" si="4" ref="G26:T26">SUBTOTAL(9,G27:G39)</f>
        <v>5683.52</v>
      </c>
      <c r="H26" s="181">
        <f t="shared" si="4"/>
        <v>11313.85</v>
      </c>
      <c r="I26" s="181">
        <f t="shared" si="4"/>
        <v>9948.49</v>
      </c>
      <c r="J26" s="181">
        <f t="shared" si="4"/>
        <v>0</v>
      </c>
      <c r="K26" s="181">
        <f t="shared" si="4"/>
        <v>0</v>
      </c>
      <c r="L26" s="181">
        <f t="shared" si="4"/>
        <v>0</v>
      </c>
      <c r="M26" s="181">
        <f t="shared" si="4"/>
        <v>0</v>
      </c>
      <c r="N26" s="181">
        <f t="shared" si="4"/>
        <v>0</v>
      </c>
      <c r="O26" s="181">
        <f t="shared" si="4"/>
        <v>0</v>
      </c>
      <c r="P26" s="181">
        <f t="shared" si="4"/>
        <v>0</v>
      </c>
      <c r="Q26" s="181">
        <f t="shared" si="4"/>
        <v>0</v>
      </c>
      <c r="R26" s="181">
        <f t="shared" si="4"/>
        <v>0</v>
      </c>
      <c r="S26" s="181"/>
      <c r="T26" s="181">
        <f t="shared" si="4"/>
        <v>0</v>
      </c>
    </row>
    <row r="27" spans="1:20" ht="15">
      <c r="A27" s="182"/>
      <c r="B27" s="182"/>
      <c r="C27" s="183"/>
      <c r="D27" s="183"/>
      <c r="E27" s="183"/>
      <c r="F27" s="184"/>
      <c r="G27" s="178"/>
      <c r="H27" s="184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</row>
    <row r="28" spans="1:20" ht="15">
      <c r="A28" s="178"/>
      <c r="B28" s="183"/>
      <c r="C28" s="185" t="s">
        <v>2</v>
      </c>
      <c r="D28" s="185" t="s">
        <v>119</v>
      </c>
      <c r="E28" s="185"/>
      <c r="F28" s="186">
        <f>SUBTOTAL(9,F29:F34)</f>
        <v>67920</v>
      </c>
      <c r="G28" s="186">
        <f aca="true" t="shared" si="5" ref="G28:T28">SUBTOTAL(9,G29:G34)</f>
        <v>5638.52</v>
      </c>
      <c r="H28" s="186">
        <f t="shared" si="5"/>
        <v>10983.85</v>
      </c>
      <c r="I28" s="186">
        <f t="shared" si="5"/>
        <v>9853.49</v>
      </c>
      <c r="J28" s="186">
        <f t="shared" si="5"/>
        <v>0</v>
      </c>
      <c r="K28" s="186">
        <f t="shared" si="5"/>
        <v>0</v>
      </c>
      <c r="L28" s="186">
        <f t="shared" si="5"/>
        <v>0</v>
      </c>
      <c r="M28" s="186">
        <f t="shared" si="5"/>
        <v>0</v>
      </c>
      <c r="N28" s="186">
        <f t="shared" si="5"/>
        <v>0</v>
      </c>
      <c r="O28" s="186">
        <f t="shared" si="5"/>
        <v>0</v>
      </c>
      <c r="P28" s="186">
        <f t="shared" si="5"/>
        <v>0</v>
      </c>
      <c r="Q28" s="186">
        <f t="shared" si="5"/>
        <v>0</v>
      </c>
      <c r="R28" s="186">
        <f t="shared" si="5"/>
        <v>0</v>
      </c>
      <c r="S28" s="186"/>
      <c r="T28" s="186">
        <f t="shared" si="5"/>
        <v>0</v>
      </c>
    </row>
    <row r="29" spans="1:20" ht="15">
      <c r="A29" s="178"/>
      <c r="B29" s="183"/>
      <c r="C29" s="187"/>
      <c r="D29" s="187"/>
      <c r="E29" s="187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</row>
    <row r="30" spans="1:20" ht="15">
      <c r="A30" s="178"/>
      <c r="B30" s="183"/>
      <c r="C30" s="187"/>
      <c r="D30" s="189" t="s">
        <v>187</v>
      </c>
      <c r="E30" s="189" t="s">
        <v>188</v>
      </c>
      <c r="F30" s="190">
        <v>50</v>
      </c>
      <c r="G30" s="190">
        <v>0.95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</row>
    <row r="31" spans="1:20" ht="15">
      <c r="A31" s="178"/>
      <c r="B31" s="183"/>
      <c r="C31" s="187"/>
      <c r="D31" s="189" t="s">
        <v>189</v>
      </c>
      <c r="E31" s="189" t="s">
        <v>190</v>
      </c>
      <c r="F31" s="190">
        <v>50</v>
      </c>
      <c r="G31" s="190">
        <v>0.57</v>
      </c>
      <c r="H31" s="190">
        <v>2.85</v>
      </c>
      <c r="I31" s="190">
        <v>0.49</v>
      </c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</row>
    <row r="32" spans="1:20" ht="15">
      <c r="A32" s="178"/>
      <c r="B32" s="183"/>
      <c r="C32" s="187"/>
      <c r="D32" s="189" t="s">
        <v>191</v>
      </c>
      <c r="E32" s="189" t="s">
        <v>192</v>
      </c>
      <c r="F32" s="190">
        <v>11920</v>
      </c>
      <c r="G32" s="190">
        <v>217</v>
      </c>
      <c r="H32" s="190">
        <v>81</v>
      </c>
      <c r="I32" s="190">
        <v>113</v>
      </c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</row>
    <row r="33" spans="1:20" ht="15">
      <c r="A33" s="178"/>
      <c r="B33" s="183"/>
      <c r="C33" s="187"/>
      <c r="D33" s="189" t="s">
        <v>193</v>
      </c>
      <c r="E33" s="189" t="s">
        <v>194</v>
      </c>
      <c r="F33" s="190">
        <f>50000-100+6000</f>
        <v>55900</v>
      </c>
      <c r="G33" s="190">
        <v>5420</v>
      </c>
      <c r="H33" s="190">
        <v>10900</v>
      </c>
      <c r="I33" s="190">
        <v>9740</v>
      </c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</row>
    <row r="34" spans="1:20" ht="15">
      <c r="A34" s="178"/>
      <c r="B34" s="183"/>
      <c r="C34" s="187"/>
      <c r="D34" s="187"/>
      <c r="E34" s="187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</row>
    <row r="35" spans="1:20" ht="15">
      <c r="A35" s="178"/>
      <c r="B35" s="183"/>
      <c r="C35" s="185" t="s">
        <v>148</v>
      </c>
      <c r="D35" s="185" t="s">
        <v>149</v>
      </c>
      <c r="E35" s="185"/>
      <c r="F35" s="186">
        <f>SUBTOTAL(9,F36:F38)</f>
        <v>18000</v>
      </c>
      <c r="G35" s="186">
        <f aca="true" t="shared" si="6" ref="G35:T35">SUBTOTAL(9,G36:G38)</f>
        <v>45</v>
      </c>
      <c r="H35" s="186">
        <f t="shared" si="6"/>
        <v>330</v>
      </c>
      <c r="I35" s="186">
        <f t="shared" si="6"/>
        <v>95</v>
      </c>
      <c r="J35" s="186">
        <f t="shared" si="6"/>
        <v>0</v>
      </c>
      <c r="K35" s="186">
        <f t="shared" si="6"/>
        <v>0</v>
      </c>
      <c r="L35" s="186">
        <f t="shared" si="6"/>
        <v>0</v>
      </c>
      <c r="M35" s="186">
        <f t="shared" si="6"/>
        <v>0</v>
      </c>
      <c r="N35" s="186">
        <f t="shared" si="6"/>
        <v>0</v>
      </c>
      <c r="O35" s="186">
        <f t="shared" si="6"/>
        <v>0</v>
      </c>
      <c r="P35" s="186">
        <f t="shared" si="6"/>
        <v>0</v>
      </c>
      <c r="Q35" s="186">
        <f t="shared" si="6"/>
        <v>0</v>
      </c>
      <c r="R35" s="186">
        <f t="shared" si="6"/>
        <v>0</v>
      </c>
      <c r="S35" s="186"/>
      <c r="T35" s="186">
        <f t="shared" si="6"/>
        <v>0</v>
      </c>
    </row>
    <row r="36" spans="1:20" ht="15">
      <c r="A36" s="178"/>
      <c r="B36" s="183"/>
      <c r="C36" s="187"/>
      <c r="D36" s="187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</row>
    <row r="37" spans="1:20" ht="15">
      <c r="A37" s="178"/>
      <c r="B37" s="183"/>
      <c r="C37" s="187"/>
      <c r="D37" s="189" t="s">
        <v>195</v>
      </c>
      <c r="E37" s="189" t="s">
        <v>196</v>
      </c>
      <c r="F37" s="190">
        <v>18000</v>
      </c>
      <c r="G37" s="190">
        <v>45</v>
      </c>
      <c r="H37" s="190">
        <v>330</v>
      </c>
      <c r="I37" s="190">
        <v>95</v>
      </c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</row>
    <row r="38" spans="1:20" ht="15">
      <c r="A38" s="178"/>
      <c r="B38" s="183"/>
      <c r="C38" s="187"/>
      <c r="D38" s="187"/>
      <c r="E38" s="187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</row>
    <row r="39" spans="1:20" ht="15">
      <c r="A39" s="178"/>
      <c r="B39" s="178"/>
      <c r="C39" s="178"/>
      <c r="D39" s="178"/>
      <c r="E39" s="178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</row>
    <row r="40" spans="1:20" ht="15">
      <c r="A40" s="178"/>
      <c r="B40" s="179" t="s">
        <v>153</v>
      </c>
      <c r="C40" s="179" t="s">
        <v>154</v>
      </c>
      <c r="D40" s="179"/>
      <c r="E40" s="180"/>
      <c r="F40" s="181">
        <f>SUBTOTAL(9,F41:F50)</f>
        <v>96275</v>
      </c>
      <c r="G40" s="181">
        <f aca="true" t="shared" si="7" ref="G40:T40">SUBTOTAL(9,G41:G50)</f>
        <v>0</v>
      </c>
      <c r="H40" s="181">
        <f t="shared" si="7"/>
        <v>0</v>
      </c>
      <c r="I40" s="181">
        <f t="shared" si="7"/>
        <v>0</v>
      </c>
      <c r="J40" s="181">
        <f t="shared" si="7"/>
        <v>0</v>
      </c>
      <c r="K40" s="181">
        <f t="shared" si="7"/>
        <v>0</v>
      </c>
      <c r="L40" s="181">
        <f t="shared" si="7"/>
        <v>0</v>
      </c>
      <c r="M40" s="181">
        <f t="shared" si="7"/>
        <v>0</v>
      </c>
      <c r="N40" s="181">
        <f t="shared" si="7"/>
        <v>0</v>
      </c>
      <c r="O40" s="181">
        <f t="shared" si="7"/>
        <v>0</v>
      </c>
      <c r="P40" s="181">
        <f t="shared" si="7"/>
        <v>0</v>
      </c>
      <c r="Q40" s="181">
        <f t="shared" si="7"/>
        <v>0</v>
      </c>
      <c r="R40" s="181">
        <f t="shared" si="7"/>
        <v>0</v>
      </c>
      <c r="S40" s="181"/>
      <c r="T40" s="181">
        <f t="shared" si="7"/>
        <v>0</v>
      </c>
    </row>
    <row r="41" spans="1:20" ht="15">
      <c r="A41" s="182"/>
      <c r="B41" s="182"/>
      <c r="C41" s="183"/>
      <c r="D41" s="183"/>
      <c r="E41" s="183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</row>
    <row r="42" spans="1:20" ht="15">
      <c r="A42" s="178"/>
      <c r="B42" s="183"/>
      <c r="C42" s="185" t="s">
        <v>2</v>
      </c>
      <c r="D42" s="185" t="s">
        <v>119</v>
      </c>
      <c r="E42" s="185"/>
      <c r="F42" s="186">
        <f>SUBTOTAL(9,F43:F45)</f>
        <v>800</v>
      </c>
      <c r="G42" s="186">
        <f aca="true" t="shared" si="8" ref="G42:T42">SUBTOTAL(9,G43:G45)</f>
        <v>0</v>
      </c>
      <c r="H42" s="186">
        <f t="shared" si="8"/>
        <v>0</v>
      </c>
      <c r="I42" s="186">
        <f t="shared" si="8"/>
        <v>0</v>
      </c>
      <c r="J42" s="186">
        <f t="shared" si="8"/>
        <v>0</v>
      </c>
      <c r="K42" s="186">
        <f t="shared" si="8"/>
        <v>0</v>
      </c>
      <c r="L42" s="186">
        <f t="shared" si="8"/>
        <v>0</v>
      </c>
      <c r="M42" s="186">
        <f t="shared" si="8"/>
        <v>0</v>
      </c>
      <c r="N42" s="186">
        <f t="shared" si="8"/>
        <v>0</v>
      </c>
      <c r="O42" s="186">
        <f t="shared" si="8"/>
        <v>0</v>
      </c>
      <c r="P42" s="186">
        <f t="shared" si="8"/>
        <v>0</v>
      </c>
      <c r="Q42" s="186">
        <f t="shared" si="8"/>
        <v>0</v>
      </c>
      <c r="R42" s="186">
        <f t="shared" si="8"/>
        <v>0</v>
      </c>
      <c r="S42" s="186"/>
      <c r="T42" s="186">
        <f t="shared" si="8"/>
        <v>0</v>
      </c>
    </row>
    <row r="43" spans="1:20" ht="15">
      <c r="A43" s="178"/>
      <c r="B43" s="183"/>
      <c r="C43" s="187"/>
      <c r="D43" s="187"/>
      <c r="E43" s="187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</row>
    <row r="44" spans="1:20" ht="15">
      <c r="A44" s="178"/>
      <c r="B44" s="183"/>
      <c r="C44" s="187"/>
      <c r="D44" s="189" t="s">
        <v>193</v>
      </c>
      <c r="E44" s="189" t="s">
        <v>194</v>
      </c>
      <c r="F44" s="190">
        <v>800</v>
      </c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</row>
    <row r="45" spans="1:20" ht="15">
      <c r="A45" s="178"/>
      <c r="B45" s="183"/>
      <c r="C45" s="187"/>
      <c r="D45" s="187"/>
      <c r="E45" s="187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</row>
    <row r="46" spans="1:20" ht="15">
      <c r="A46" s="178"/>
      <c r="B46" s="183"/>
      <c r="C46" s="185" t="s">
        <v>155</v>
      </c>
      <c r="D46" s="185" t="s">
        <v>156</v>
      </c>
      <c r="E46" s="185"/>
      <c r="F46" s="186">
        <v>95475</v>
      </c>
      <c r="G46" s="186">
        <f aca="true" t="shared" si="9" ref="G46:T46">SUBTOTAL(9,G47:G49)</f>
        <v>0</v>
      </c>
      <c r="H46" s="186">
        <f t="shared" si="9"/>
        <v>0</v>
      </c>
      <c r="I46" s="186">
        <f t="shared" si="9"/>
        <v>0</v>
      </c>
      <c r="J46" s="186">
        <f t="shared" si="9"/>
        <v>0</v>
      </c>
      <c r="K46" s="186">
        <f t="shared" si="9"/>
        <v>0</v>
      </c>
      <c r="L46" s="186">
        <f t="shared" si="9"/>
        <v>0</v>
      </c>
      <c r="M46" s="186">
        <f t="shared" si="9"/>
        <v>0</v>
      </c>
      <c r="N46" s="186">
        <f t="shared" si="9"/>
        <v>0</v>
      </c>
      <c r="O46" s="186">
        <f t="shared" si="9"/>
        <v>0</v>
      </c>
      <c r="P46" s="186">
        <f t="shared" si="9"/>
        <v>0</v>
      </c>
      <c r="Q46" s="186">
        <f t="shared" si="9"/>
        <v>0</v>
      </c>
      <c r="R46" s="186">
        <f t="shared" si="9"/>
        <v>0</v>
      </c>
      <c r="S46" s="186"/>
      <c r="T46" s="186">
        <f t="shared" si="9"/>
        <v>0</v>
      </c>
    </row>
    <row r="47" spans="1:20" ht="15">
      <c r="A47" s="178"/>
      <c r="B47" s="183"/>
      <c r="C47" s="187"/>
      <c r="D47" s="187"/>
      <c r="E47" s="187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</row>
    <row r="48" spans="1:20" ht="15">
      <c r="A48" s="178"/>
      <c r="B48" s="183"/>
      <c r="C48" s="187"/>
      <c r="D48" s="189" t="s">
        <v>197</v>
      </c>
      <c r="E48" s="189" t="s">
        <v>198</v>
      </c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</row>
    <row r="49" spans="1:20" ht="15">
      <c r="A49" s="178"/>
      <c r="B49" s="183"/>
      <c r="C49" s="187"/>
      <c r="D49" s="187"/>
      <c r="E49" s="187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</row>
    <row r="50" spans="1:20" ht="15">
      <c r="A50" s="178"/>
      <c r="B50" s="178"/>
      <c r="C50" s="178"/>
      <c r="D50" s="178"/>
      <c r="E50" s="178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</row>
    <row r="51" spans="1:20" ht="15">
      <c r="A51" s="178"/>
      <c r="B51" s="179" t="s">
        <v>157</v>
      </c>
      <c r="C51" s="179" t="s">
        <v>158</v>
      </c>
      <c r="D51" s="179"/>
      <c r="E51" s="180"/>
      <c r="F51" s="181">
        <f>SUBTOTAL(9,F52:F57)</f>
        <v>79587495</v>
      </c>
      <c r="G51" s="181">
        <f aca="true" t="shared" si="10" ref="G51:T51">SUBTOTAL(9,G52:G57)</f>
        <v>0</v>
      </c>
      <c r="H51" s="181">
        <f t="shared" si="10"/>
        <v>0</v>
      </c>
      <c r="I51" s="181">
        <f t="shared" si="10"/>
        <v>210448</v>
      </c>
      <c r="J51" s="181">
        <f t="shared" si="10"/>
        <v>0</v>
      </c>
      <c r="K51" s="181">
        <f t="shared" si="10"/>
        <v>0</v>
      </c>
      <c r="L51" s="181">
        <f t="shared" si="10"/>
        <v>0</v>
      </c>
      <c r="M51" s="181">
        <f t="shared" si="10"/>
        <v>0</v>
      </c>
      <c r="N51" s="181">
        <f t="shared" si="10"/>
        <v>0</v>
      </c>
      <c r="O51" s="181">
        <f t="shared" si="10"/>
        <v>0</v>
      </c>
      <c r="P51" s="181">
        <f t="shared" si="10"/>
        <v>0</v>
      </c>
      <c r="Q51" s="181">
        <f t="shared" si="10"/>
        <v>0</v>
      </c>
      <c r="R51" s="181">
        <f t="shared" si="10"/>
        <v>0</v>
      </c>
      <c r="S51" s="181"/>
      <c r="T51" s="181">
        <f t="shared" si="10"/>
        <v>0</v>
      </c>
    </row>
    <row r="52" spans="1:20" ht="15">
      <c r="A52" s="182"/>
      <c r="B52" s="182"/>
      <c r="C52" s="183"/>
      <c r="D52" s="183"/>
      <c r="E52" s="183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</row>
    <row r="53" spans="1:20" ht="15">
      <c r="A53" s="178"/>
      <c r="B53" s="183"/>
      <c r="C53" s="185" t="s">
        <v>159</v>
      </c>
      <c r="D53" s="185" t="s">
        <v>160</v>
      </c>
      <c r="E53" s="185"/>
      <c r="F53" s="186">
        <f>SUBTOTAL(9,F54:F56)</f>
        <v>79587495</v>
      </c>
      <c r="G53" s="186">
        <f aca="true" t="shared" si="11" ref="G53:T53">SUBTOTAL(9,G54:G56)</f>
        <v>0</v>
      </c>
      <c r="H53" s="186">
        <f t="shared" si="11"/>
        <v>0</v>
      </c>
      <c r="I53" s="186">
        <f t="shared" si="11"/>
        <v>210448</v>
      </c>
      <c r="J53" s="186">
        <f t="shared" si="11"/>
        <v>0</v>
      </c>
      <c r="K53" s="186">
        <f t="shared" si="11"/>
        <v>0</v>
      </c>
      <c r="L53" s="186">
        <f t="shared" si="11"/>
        <v>0</v>
      </c>
      <c r="M53" s="186">
        <f t="shared" si="11"/>
        <v>0</v>
      </c>
      <c r="N53" s="186">
        <f t="shared" si="11"/>
        <v>0</v>
      </c>
      <c r="O53" s="186">
        <f t="shared" si="11"/>
        <v>0</v>
      </c>
      <c r="P53" s="186">
        <f t="shared" si="11"/>
        <v>0</v>
      </c>
      <c r="Q53" s="186">
        <f t="shared" si="11"/>
        <v>0</v>
      </c>
      <c r="R53" s="186">
        <f t="shared" si="11"/>
        <v>0</v>
      </c>
      <c r="S53" s="186"/>
      <c r="T53" s="186">
        <f t="shared" si="11"/>
        <v>0</v>
      </c>
    </row>
    <row r="54" spans="1:20" ht="15">
      <c r="A54" s="178"/>
      <c r="B54" s="183"/>
      <c r="C54" s="187"/>
      <c r="D54" s="187"/>
      <c r="E54" s="187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</row>
    <row r="55" spans="1:20" ht="15">
      <c r="A55" s="178"/>
      <c r="B55" s="183"/>
      <c r="C55" s="187"/>
      <c r="D55" s="189" t="s">
        <v>199</v>
      </c>
      <c r="E55" s="189" t="s">
        <v>200</v>
      </c>
      <c r="F55" s="190">
        <v>79587495</v>
      </c>
      <c r="G55" s="190"/>
      <c r="H55" s="190"/>
      <c r="I55" s="190">
        <v>210448</v>
      </c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</row>
    <row r="56" spans="1:20" ht="15">
      <c r="A56" s="178"/>
      <c r="B56" s="183"/>
      <c r="C56" s="187"/>
      <c r="D56" s="187"/>
      <c r="E56" s="187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</row>
    <row r="57" spans="1:20" ht="15">
      <c r="A57" s="178"/>
      <c r="B57" s="178"/>
      <c r="C57" s="178"/>
      <c r="D57" s="178"/>
      <c r="E57" s="178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</row>
    <row r="58" spans="1:20" ht="15">
      <c r="A58" s="178"/>
      <c r="B58" s="178"/>
      <c r="C58" s="178"/>
      <c r="D58" s="178"/>
      <c r="E58" s="178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</row>
    <row r="59" spans="1:20" ht="15">
      <c r="A59" s="178"/>
      <c r="B59" s="178"/>
      <c r="C59" s="178" t="s">
        <v>201</v>
      </c>
      <c r="D59" s="178"/>
      <c r="E59" s="178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</row>
    <row r="60" spans="1:20" ht="15">
      <c r="A60" s="193" t="s">
        <v>55</v>
      </c>
      <c r="B60" s="193"/>
      <c r="C60" s="193"/>
      <c r="D60" s="193"/>
      <c r="E60" s="193"/>
      <c r="F60" s="194">
        <f>SUBTOTAL(9,F15:F59)</f>
        <v>88870098.77</v>
      </c>
      <c r="G60" s="194">
        <f aca="true" t="shared" si="12" ref="G60:T60">SUBTOTAL(9,G15:G59)</f>
        <v>364324.51000000007</v>
      </c>
      <c r="H60" s="194">
        <f t="shared" si="12"/>
        <v>600191.4</v>
      </c>
      <c r="I60" s="194">
        <f t="shared" si="12"/>
        <v>711525.13</v>
      </c>
      <c r="J60" s="194">
        <f t="shared" si="12"/>
        <v>0</v>
      </c>
      <c r="K60" s="194">
        <f t="shared" si="12"/>
        <v>0</v>
      </c>
      <c r="L60" s="194">
        <f t="shared" si="12"/>
        <v>0</v>
      </c>
      <c r="M60" s="194">
        <f t="shared" si="12"/>
        <v>0</v>
      </c>
      <c r="N60" s="194">
        <f t="shared" si="12"/>
        <v>0</v>
      </c>
      <c r="O60" s="194">
        <f t="shared" si="12"/>
        <v>0</v>
      </c>
      <c r="P60" s="194">
        <f t="shared" si="12"/>
        <v>0</v>
      </c>
      <c r="Q60" s="194">
        <f t="shared" si="12"/>
        <v>0</v>
      </c>
      <c r="R60" s="194">
        <f t="shared" si="12"/>
        <v>0</v>
      </c>
      <c r="S60" s="194"/>
      <c r="T60" s="194">
        <f t="shared" si="12"/>
        <v>0</v>
      </c>
    </row>
    <row r="61" spans="1:20" ht="15">
      <c r="A61" s="193" t="s">
        <v>202</v>
      </c>
      <c r="B61" s="193"/>
      <c r="C61" s="193"/>
      <c r="D61" s="193"/>
      <c r="E61" s="193"/>
      <c r="F61" s="194">
        <v>287742.69</v>
      </c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</row>
    <row r="62" spans="1:20" ht="15">
      <c r="A62" s="193" t="s">
        <v>203</v>
      </c>
      <c r="B62" s="193"/>
      <c r="C62" s="193"/>
      <c r="D62" s="193"/>
      <c r="E62" s="193"/>
      <c r="F62" s="194">
        <v>287742.69</v>
      </c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</row>
    <row r="63" spans="1:20" ht="15">
      <c r="A63" s="193" t="s">
        <v>204</v>
      </c>
      <c r="B63" s="193"/>
      <c r="C63" s="193"/>
      <c r="D63" s="193"/>
      <c r="E63" s="193"/>
      <c r="F63" s="194">
        <f>F60+F61-F62</f>
        <v>88870098.77</v>
      </c>
      <c r="G63" s="194">
        <f aca="true" t="shared" si="13" ref="G63:T63">G60+G61-G62</f>
        <v>364324.51000000007</v>
      </c>
      <c r="H63" s="194">
        <f t="shared" si="13"/>
        <v>600191.4</v>
      </c>
      <c r="I63" s="194">
        <f t="shared" si="13"/>
        <v>711525.13</v>
      </c>
      <c r="J63" s="194">
        <f t="shared" si="13"/>
        <v>0</v>
      </c>
      <c r="K63" s="194">
        <f t="shared" si="13"/>
        <v>0</v>
      </c>
      <c r="L63" s="194">
        <f t="shared" si="13"/>
        <v>0</v>
      </c>
      <c r="M63" s="194">
        <f t="shared" si="13"/>
        <v>0</v>
      </c>
      <c r="N63" s="194">
        <f t="shared" si="13"/>
        <v>0</v>
      </c>
      <c r="O63" s="194">
        <f t="shared" si="13"/>
        <v>0</v>
      </c>
      <c r="P63" s="194">
        <f t="shared" si="13"/>
        <v>0</v>
      </c>
      <c r="Q63" s="194">
        <f t="shared" si="13"/>
        <v>0</v>
      </c>
      <c r="R63" s="194">
        <f t="shared" si="13"/>
        <v>0</v>
      </c>
      <c r="S63" s="194"/>
      <c r="T63" s="194">
        <f t="shared" si="13"/>
        <v>0</v>
      </c>
    </row>
  </sheetData>
  <sheetProtection/>
  <mergeCells count="1">
    <mergeCell ref="A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32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11.421875" style="238" customWidth="1"/>
    <col min="2" max="2" width="16.28125" style="238" customWidth="1"/>
    <col min="3" max="4" width="9.140625" style="238" customWidth="1"/>
    <col min="5" max="5" width="50.28125" style="238" customWidth="1"/>
    <col min="6" max="6" width="23.7109375" style="238" customWidth="1"/>
    <col min="7" max="7" width="19.7109375" style="239" customWidth="1"/>
    <col min="8" max="8" width="19.7109375" style="238" customWidth="1"/>
    <col min="9" max="9" width="22.28125" style="239" customWidth="1"/>
    <col min="10" max="10" width="19.57421875" style="238" customWidth="1"/>
    <col min="11" max="11" width="19.7109375" style="238" customWidth="1"/>
    <col min="12" max="13" width="9.140625" style="238" customWidth="1"/>
    <col min="14" max="14" width="11.7109375" style="238" bestFit="1" customWidth="1"/>
    <col min="15" max="15" width="10.28125" style="238" bestFit="1" customWidth="1"/>
    <col min="16" max="16384" width="9.140625" style="238" customWidth="1"/>
  </cols>
  <sheetData>
    <row r="2" ht="15">
      <c r="A2" s="237"/>
    </row>
    <row r="3" spans="1:11" ht="20.25" customHeight="1">
      <c r="A3" s="271" t="s">
        <v>231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8" ht="20.25" customHeight="1">
      <c r="A4" s="223"/>
      <c r="B4" s="223"/>
      <c r="C4" s="223"/>
      <c r="D4" s="223"/>
      <c r="E4" s="223"/>
      <c r="F4" s="223"/>
      <c r="G4" s="240"/>
      <c r="H4" s="223"/>
    </row>
    <row r="6" spans="1:11" ht="60">
      <c r="A6" s="241" t="s">
        <v>52</v>
      </c>
      <c r="B6" s="241" t="s">
        <v>229</v>
      </c>
      <c r="C6" s="241" t="s">
        <v>49</v>
      </c>
      <c r="D6" s="241" t="s">
        <v>61</v>
      </c>
      <c r="E6" s="241" t="str">
        <f>CONCATENATE("Naziv ",,D6)</f>
        <v>Naziv Konto 4. razina</v>
      </c>
      <c r="F6" s="226" t="s">
        <v>164</v>
      </c>
      <c r="G6" s="226" t="s">
        <v>220</v>
      </c>
      <c r="H6" s="227" t="s">
        <v>224</v>
      </c>
      <c r="I6" s="226" t="s">
        <v>221</v>
      </c>
      <c r="J6" s="227" t="s">
        <v>224</v>
      </c>
      <c r="K6" s="227" t="s">
        <v>230</v>
      </c>
    </row>
    <row r="7" spans="1:11" ht="15.75" customHeight="1">
      <c r="A7" s="226">
        <v>1</v>
      </c>
      <c r="B7" s="226">
        <v>2</v>
      </c>
      <c r="C7" s="226">
        <v>3</v>
      </c>
      <c r="D7" s="226">
        <v>4</v>
      </c>
      <c r="E7" s="226">
        <v>5</v>
      </c>
      <c r="F7" s="226">
        <v>6</v>
      </c>
      <c r="G7" s="226">
        <v>7</v>
      </c>
      <c r="H7" s="226" t="s">
        <v>227</v>
      </c>
      <c r="I7" s="226">
        <v>9</v>
      </c>
      <c r="J7" s="226" t="s">
        <v>226</v>
      </c>
      <c r="K7" s="226" t="s">
        <v>228</v>
      </c>
    </row>
    <row r="8" spans="1:11" ht="23.25" customHeight="1">
      <c r="A8" s="242" t="s">
        <v>6</v>
      </c>
      <c r="B8" s="242" t="s">
        <v>77</v>
      </c>
      <c r="C8" s="242"/>
      <c r="D8" s="242"/>
      <c r="E8" s="242"/>
      <c r="F8" s="243">
        <f>SUBTOTAL(9,F9:F128)</f>
        <v>47734410.81</v>
      </c>
      <c r="G8" s="243">
        <f>SUBTOTAL(9,G9:G128)</f>
        <v>49227156.76</v>
      </c>
      <c r="H8" s="243">
        <f>+G8-F8</f>
        <v>1492745.9499999955</v>
      </c>
      <c r="I8" s="243">
        <f>SUBTOTAL(9,I9:I128)</f>
        <v>50541879.620000005</v>
      </c>
      <c r="J8" s="243">
        <f>+I8-F8</f>
        <v>2807468.8100000024</v>
      </c>
      <c r="K8" s="243">
        <f>+I8-G8</f>
        <v>1314722.8600000069</v>
      </c>
    </row>
    <row r="9" spans="1:11" ht="30" customHeight="1" hidden="1">
      <c r="A9" s="242"/>
      <c r="B9" s="242"/>
      <c r="C9" s="242"/>
      <c r="D9" s="242"/>
      <c r="E9" s="242"/>
      <c r="F9" s="243"/>
      <c r="G9" s="244"/>
      <c r="H9" s="243"/>
      <c r="I9" s="244"/>
      <c r="J9" s="243"/>
      <c r="K9" s="243"/>
    </row>
    <row r="10" spans="1:14" ht="23.25" customHeight="1">
      <c r="A10" s="245"/>
      <c r="B10" s="246" t="s">
        <v>53</v>
      </c>
      <c r="C10" s="246" t="s">
        <v>87</v>
      </c>
      <c r="D10" s="246"/>
      <c r="E10" s="246"/>
      <c r="F10" s="247">
        <f>SUBTOTAL(9,F11:F43)</f>
        <v>6074155.8100000005</v>
      </c>
      <c r="G10" s="248">
        <f>SUBTOTAL(9,G11:G43)</f>
        <v>7331277.24</v>
      </c>
      <c r="H10" s="248">
        <f>+G10-F10</f>
        <v>1257121.4299999997</v>
      </c>
      <c r="I10" s="248">
        <f>SUBTOTAL(9,I11:I43)</f>
        <v>7845871.8</v>
      </c>
      <c r="J10" s="247">
        <f>SUBTOTAL(9,J11:J43)</f>
        <v>1771715.9899999998</v>
      </c>
      <c r="K10" s="247">
        <f>SUBTOTAL(9,K11:K43)</f>
        <v>514594.56</v>
      </c>
      <c r="N10" s="249"/>
    </row>
    <row r="11" spans="1:11" ht="30" customHeight="1" hidden="1">
      <c r="A11" s="245"/>
      <c r="B11" s="246"/>
      <c r="C11" s="246"/>
      <c r="D11" s="246"/>
      <c r="E11" s="246"/>
      <c r="F11" s="247"/>
      <c r="G11" s="244"/>
      <c r="H11" s="247"/>
      <c r="I11" s="250"/>
      <c r="J11" s="245"/>
      <c r="K11" s="245"/>
    </row>
    <row r="12" spans="1:11" ht="15">
      <c r="A12" s="245"/>
      <c r="B12" s="245"/>
      <c r="C12" s="251" t="s">
        <v>1</v>
      </c>
      <c r="D12" s="251" t="s">
        <v>76</v>
      </c>
      <c r="E12" s="251"/>
      <c r="F12" s="252">
        <f>SUBTOTAL(9,F13:F43)</f>
        <v>6074155.8100000005</v>
      </c>
      <c r="G12" s="244">
        <f>SUBTOTAL(9,G13:G43)</f>
        <v>7331277.24</v>
      </c>
      <c r="H12" s="252">
        <f>SUM(H14:H43)</f>
        <v>1257121.4299999997</v>
      </c>
      <c r="I12" s="244">
        <f>SUBTOTAL(9,I13:I43)</f>
        <v>7845871.8</v>
      </c>
      <c r="J12" s="252">
        <f>SUBTOTAL(9,J13:J43)</f>
        <v>1771715.9899999998</v>
      </c>
      <c r="K12" s="252">
        <f>SUBTOTAL(9,K13:K43)</f>
        <v>514594.56</v>
      </c>
    </row>
    <row r="13" spans="1:11" ht="15" hidden="1">
      <c r="A13" s="245"/>
      <c r="B13" s="245"/>
      <c r="C13" s="245"/>
      <c r="D13" s="245"/>
      <c r="E13" s="245"/>
      <c r="F13" s="253"/>
      <c r="G13" s="254"/>
      <c r="H13" s="253"/>
      <c r="I13" s="250"/>
      <c r="J13" s="245"/>
      <c r="K13" s="245"/>
    </row>
    <row r="14" spans="1:11" ht="15">
      <c r="A14" s="245"/>
      <c r="B14" s="245"/>
      <c r="C14" s="245"/>
      <c r="D14" s="245" t="s">
        <v>7</v>
      </c>
      <c r="E14" s="245" t="s">
        <v>92</v>
      </c>
      <c r="F14" s="253">
        <v>3500348.74</v>
      </c>
      <c r="G14" s="254">
        <v>3592589.19</v>
      </c>
      <c r="H14" s="253">
        <f>+G14-F14</f>
        <v>92240.44999999972</v>
      </c>
      <c r="I14" s="218">
        <v>3592589.19</v>
      </c>
      <c r="J14" s="255">
        <f aca="true" t="shared" si="0" ref="J14:J43">++I14-F14</f>
        <v>92240.44999999972</v>
      </c>
      <c r="K14" s="255">
        <f aca="true" t="shared" si="1" ref="K14:K29">+I14-G14</f>
        <v>0</v>
      </c>
    </row>
    <row r="15" spans="1:11" ht="15">
      <c r="A15" s="245"/>
      <c r="B15" s="245"/>
      <c r="C15" s="245"/>
      <c r="D15" s="245" t="s">
        <v>9</v>
      </c>
      <c r="E15" s="245" t="s">
        <v>96</v>
      </c>
      <c r="F15" s="253">
        <v>9000</v>
      </c>
      <c r="G15" s="254">
        <v>30000</v>
      </c>
      <c r="H15" s="253">
        <f aca="true" t="shared" si="2" ref="H15:H43">+G15-F15</f>
        <v>21000</v>
      </c>
      <c r="I15" s="218">
        <v>20000</v>
      </c>
      <c r="J15" s="255">
        <f t="shared" si="0"/>
        <v>11000</v>
      </c>
      <c r="K15" s="255">
        <f t="shared" si="1"/>
        <v>-10000</v>
      </c>
    </row>
    <row r="16" spans="1:11" ht="15">
      <c r="A16" s="245"/>
      <c r="B16" s="245"/>
      <c r="C16" s="245"/>
      <c r="D16" s="245" t="s">
        <v>138</v>
      </c>
      <c r="E16" s="245" t="s">
        <v>113</v>
      </c>
      <c r="F16" s="253">
        <v>1700</v>
      </c>
      <c r="G16" s="254">
        <v>4000</v>
      </c>
      <c r="H16" s="253">
        <f t="shared" si="2"/>
        <v>2300</v>
      </c>
      <c r="I16" s="218">
        <v>4000</v>
      </c>
      <c r="J16" s="255">
        <f t="shared" si="0"/>
        <v>2300</v>
      </c>
      <c r="K16" s="255">
        <f t="shared" si="1"/>
        <v>0</v>
      </c>
    </row>
    <row r="17" spans="1:11" ht="15">
      <c r="A17" s="245"/>
      <c r="B17" s="245"/>
      <c r="C17" s="245"/>
      <c r="D17" s="245" t="s">
        <v>10</v>
      </c>
      <c r="E17" s="245" t="s">
        <v>79</v>
      </c>
      <c r="F17" s="253">
        <v>129000</v>
      </c>
      <c r="G17" s="254">
        <v>129000</v>
      </c>
      <c r="H17" s="253">
        <f t="shared" si="2"/>
        <v>0</v>
      </c>
      <c r="I17" s="218">
        <v>129000</v>
      </c>
      <c r="J17" s="255">
        <f t="shared" si="0"/>
        <v>0</v>
      </c>
      <c r="K17" s="255">
        <f t="shared" si="1"/>
        <v>0</v>
      </c>
    </row>
    <row r="18" spans="1:11" ht="15">
      <c r="A18" s="245"/>
      <c r="B18" s="245"/>
      <c r="C18" s="245"/>
      <c r="D18" s="245" t="s">
        <v>11</v>
      </c>
      <c r="E18" s="245" t="s">
        <v>94</v>
      </c>
      <c r="F18" s="253">
        <v>601607.07</v>
      </c>
      <c r="G18" s="254">
        <v>615172.61</v>
      </c>
      <c r="H18" s="253">
        <f t="shared" si="2"/>
        <v>13565.540000000037</v>
      </c>
      <c r="I18" s="218">
        <v>615172.61</v>
      </c>
      <c r="J18" s="255">
        <f t="shared" si="0"/>
        <v>13565.540000000037</v>
      </c>
      <c r="K18" s="255">
        <f t="shared" si="1"/>
        <v>0</v>
      </c>
    </row>
    <row r="19" spans="1:11" ht="15">
      <c r="A19" s="245"/>
      <c r="B19" s="245"/>
      <c r="C19" s="245"/>
      <c r="D19" s="245" t="s">
        <v>13</v>
      </c>
      <c r="E19" s="245" t="s">
        <v>86</v>
      </c>
      <c r="F19" s="253">
        <v>8000</v>
      </c>
      <c r="G19" s="254">
        <v>8000</v>
      </c>
      <c r="H19" s="253">
        <f t="shared" si="2"/>
        <v>0</v>
      </c>
      <c r="I19" s="218">
        <v>8000</v>
      </c>
      <c r="J19" s="255">
        <f t="shared" si="0"/>
        <v>0</v>
      </c>
      <c r="K19" s="255">
        <f t="shared" si="1"/>
        <v>0</v>
      </c>
    </row>
    <row r="20" spans="1:11" ht="15">
      <c r="A20" s="245"/>
      <c r="B20" s="245"/>
      <c r="C20" s="245"/>
      <c r="D20" s="245" t="s">
        <v>14</v>
      </c>
      <c r="E20" s="245" t="s">
        <v>106</v>
      </c>
      <c r="F20" s="253">
        <v>120000</v>
      </c>
      <c r="G20" s="254">
        <v>120000</v>
      </c>
      <c r="H20" s="253">
        <f t="shared" si="2"/>
        <v>0</v>
      </c>
      <c r="I20" s="256">
        <v>120000</v>
      </c>
      <c r="J20" s="255">
        <f t="shared" si="0"/>
        <v>0</v>
      </c>
      <c r="K20" s="255">
        <f t="shared" si="1"/>
        <v>0</v>
      </c>
    </row>
    <row r="21" spans="1:11" ht="15">
      <c r="A21" s="245"/>
      <c r="B21" s="245"/>
      <c r="C21" s="245"/>
      <c r="D21" s="245" t="s">
        <v>15</v>
      </c>
      <c r="E21" s="245" t="s">
        <v>99</v>
      </c>
      <c r="F21" s="253">
        <v>5000</v>
      </c>
      <c r="G21" s="254">
        <v>5000</v>
      </c>
      <c r="H21" s="253">
        <f t="shared" si="2"/>
        <v>0</v>
      </c>
      <c r="I21" s="256">
        <v>5000</v>
      </c>
      <c r="J21" s="255">
        <f t="shared" si="0"/>
        <v>0</v>
      </c>
      <c r="K21" s="255">
        <f t="shared" si="1"/>
        <v>0</v>
      </c>
    </row>
    <row r="22" spans="1:11" ht="15">
      <c r="A22" s="245"/>
      <c r="B22" s="245"/>
      <c r="C22" s="245"/>
      <c r="D22" s="245" t="s">
        <v>16</v>
      </c>
      <c r="E22" s="245" t="s">
        <v>101</v>
      </c>
      <c r="F22" s="253">
        <v>0</v>
      </c>
      <c r="G22" s="254">
        <v>2000</v>
      </c>
      <c r="H22" s="253">
        <f t="shared" si="2"/>
        <v>2000</v>
      </c>
      <c r="I22" s="256">
        <v>2000</v>
      </c>
      <c r="J22" s="255">
        <f t="shared" si="0"/>
        <v>2000</v>
      </c>
      <c r="K22" s="255">
        <f t="shared" si="1"/>
        <v>0</v>
      </c>
    </row>
    <row r="23" spans="1:11" ht="15">
      <c r="A23" s="245"/>
      <c r="B23" s="245"/>
      <c r="C23" s="245"/>
      <c r="D23" s="245" t="s">
        <v>17</v>
      </c>
      <c r="E23" s="245" t="s">
        <v>95</v>
      </c>
      <c r="F23" s="253">
        <v>65000</v>
      </c>
      <c r="G23" s="254">
        <v>65000</v>
      </c>
      <c r="H23" s="253">
        <f t="shared" si="2"/>
        <v>0</v>
      </c>
      <c r="I23" s="256">
        <v>65000</v>
      </c>
      <c r="J23" s="255">
        <f t="shared" si="0"/>
        <v>0</v>
      </c>
      <c r="K23" s="255">
        <f t="shared" si="1"/>
        <v>0</v>
      </c>
    </row>
    <row r="24" spans="1:11" ht="15">
      <c r="A24" s="245"/>
      <c r="B24" s="245"/>
      <c r="C24" s="245"/>
      <c r="D24" s="245" t="s">
        <v>19</v>
      </c>
      <c r="E24" s="245" t="s">
        <v>51</v>
      </c>
      <c r="F24" s="253">
        <v>151000</v>
      </c>
      <c r="G24" s="254">
        <v>320000</v>
      </c>
      <c r="H24" s="253">
        <f t="shared" si="2"/>
        <v>169000</v>
      </c>
      <c r="I24" s="256">
        <v>500000</v>
      </c>
      <c r="J24" s="255">
        <f t="shared" si="0"/>
        <v>349000</v>
      </c>
      <c r="K24" s="255">
        <f t="shared" si="1"/>
        <v>180000</v>
      </c>
    </row>
    <row r="25" spans="1:11" ht="15">
      <c r="A25" s="245"/>
      <c r="B25" s="245"/>
      <c r="C25" s="245"/>
      <c r="D25" s="245" t="s">
        <v>20</v>
      </c>
      <c r="E25" s="245" t="s">
        <v>108</v>
      </c>
      <c r="F25" s="253">
        <v>18000</v>
      </c>
      <c r="G25" s="254">
        <v>18000</v>
      </c>
      <c r="H25" s="253">
        <f t="shared" si="2"/>
        <v>0</v>
      </c>
      <c r="I25" s="256">
        <v>18000</v>
      </c>
      <c r="J25" s="255">
        <f t="shared" si="0"/>
        <v>0</v>
      </c>
      <c r="K25" s="255">
        <f t="shared" si="1"/>
        <v>0</v>
      </c>
    </row>
    <row r="26" spans="1:11" ht="15">
      <c r="A26" s="245"/>
      <c r="B26" s="245"/>
      <c r="C26" s="245"/>
      <c r="D26" s="245" t="s">
        <v>21</v>
      </c>
      <c r="E26" s="245" t="s">
        <v>78</v>
      </c>
      <c r="F26" s="253">
        <v>7000</v>
      </c>
      <c r="G26" s="254">
        <v>7500</v>
      </c>
      <c r="H26" s="253">
        <f t="shared" si="2"/>
        <v>500</v>
      </c>
      <c r="I26" s="256">
        <v>8800</v>
      </c>
      <c r="J26" s="255">
        <f t="shared" si="0"/>
        <v>1800</v>
      </c>
      <c r="K26" s="255">
        <f t="shared" si="1"/>
        <v>1300</v>
      </c>
    </row>
    <row r="27" spans="1:11" ht="15">
      <c r="A27" s="245"/>
      <c r="B27" s="245"/>
      <c r="C27" s="245"/>
      <c r="D27" s="257">
        <v>3227</v>
      </c>
      <c r="E27" s="245" t="s">
        <v>103</v>
      </c>
      <c r="F27" s="253">
        <v>0</v>
      </c>
      <c r="G27" s="254">
        <v>2835.44</v>
      </c>
      <c r="H27" s="253">
        <f t="shared" si="2"/>
        <v>2835.44</v>
      </c>
      <c r="I27" s="256">
        <v>3150</v>
      </c>
      <c r="J27" s="255">
        <f t="shared" si="0"/>
        <v>3150</v>
      </c>
      <c r="K27" s="255">
        <f t="shared" si="1"/>
        <v>314.55999999999995</v>
      </c>
    </row>
    <row r="28" spans="1:11" ht="15">
      <c r="A28" s="245"/>
      <c r="B28" s="245"/>
      <c r="C28" s="245"/>
      <c r="D28" s="245" t="s">
        <v>24</v>
      </c>
      <c r="E28" s="245" t="s">
        <v>100</v>
      </c>
      <c r="F28" s="253">
        <v>62000</v>
      </c>
      <c r="G28" s="254">
        <v>62000</v>
      </c>
      <c r="H28" s="253">
        <f t="shared" si="2"/>
        <v>0</v>
      </c>
      <c r="I28" s="256">
        <v>62000</v>
      </c>
      <c r="J28" s="255">
        <f t="shared" si="0"/>
        <v>0</v>
      </c>
      <c r="K28" s="255">
        <f t="shared" si="1"/>
        <v>0</v>
      </c>
    </row>
    <row r="29" spans="1:11" ht="15">
      <c r="A29" s="245"/>
      <c r="B29" s="245"/>
      <c r="C29" s="245"/>
      <c r="D29" s="245" t="s">
        <v>25</v>
      </c>
      <c r="E29" s="245" t="s">
        <v>104</v>
      </c>
      <c r="F29" s="253">
        <v>85000</v>
      </c>
      <c r="G29" s="254">
        <v>85000</v>
      </c>
      <c r="H29" s="253">
        <f t="shared" si="2"/>
        <v>0</v>
      </c>
      <c r="I29" s="256">
        <v>148000</v>
      </c>
      <c r="J29" s="255">
        <f t="shared" si="0"/>
        <v>63000</v>
      </c>
      <c r="K29" s="255">
        <f t="shared" si="1"/>
        <v>63000</v>
      </c>
    </row>
    <row r="30" spans="1:11" ht="15">
      <c r="A30" s="245"/>
      <c r="B30" s="245"/>
      <c r="C30" s="245"/>
      <c r="D30" s="245" t="s">
        <v>26</v>
      </c>
      <c r="E30" s="245" t="s">
        <v>98</v>
      </c>
      <c r="F30" s="253">
        <v>9500</v>
      </c>
      <c r="G30" s="254">
        <v>9500</v>
      </c>
      <c r="H30" s="253">
        <f t="shared" si="2"/>
        <v>0</v>
      </c>
      <c r="I30" s="256">
        <v>15500</v>
      </c>
      <c r="J30" s="255">
        <f t="shared" si="0"/>
        <v>6000</v>
      </c>
      <c r="K30" s="255">
        <f aca="true" t="shared" si="3" ref="K30:K43">+I30-G30</f>
        <v>6000</v>
      </c>
    </row>
    <row r="31" spans="1:11" ht="15">
      <c r="A31" s="245"/>
      <c r="B31" s="245"/>
      <c r="C31" s="245"/>
      <c r="D31" s="245" t="s">
        <v>27</v>
      </c>
      <c r="E31" s="245" t="s">
        <v>62</v>
      </c>
      <c r="F31" s="253">
        <v>61500</v>
      </c>
      <c r="G31" s="254">
        <v>61500</v>
      </c>
      <c r="H31" s="253">
        <f t="shared" si="2"/>
        <v>0</v>
      </c>
      <c r="I31" s="256">
        <v>61500</v>
      </c>
      <c r="J31" s="255">
        <f t="shared" si="0"/>
        <v>0</v>
      </c>
      <c r="K31" s="255">
        <f t="shared" si="3"/>
        <v>0</v>
      </c>
    </row>
    <row r="32" spans="1:11" ht="15">
      <c r="A32" s="245"/>
      <c r="B32" s="245"/>
      <c r="C32" s="245"/>
      <c r="D32" s="245" t="s">
        <v>28</v>
      </c>
      <c r="E32" s="245" t="s">
        <v>75</v>
      </c>
      <c r="F32" s="253">
        <v>41500</v>
      </c>
      <c r="G32" s="254">
        <v>745000</v>
      </c>
      <c r="H32" s="253">
        <f t="shared" si="2"/>
        <v>703500</v>
      </c>
      <c r="I32" s="256">
        <v>745000</v>
      </c>
      <c r="J32" s="255">
        <f t="shared" si="0"/>
        <v>703500</v>
      </c>
      <c r="K32" s="255">
        <f t="shared" si="3"/>
        <v>0</v>
      </c>
    </row>
    <row r="33" spans="1:11" ht="15">
      <c r="A33" s="245"/>
      <c r="B33" s="245"/>
      <c r="C33" s="245"/>
      <c r="D33" s="245" t="s">
        <v>29</v>
      </c>
      <c r="E33" s="245" t="s">
        <v>84</v>
      </c>
      <c r="F33" s="253">
        <v>13500</v>
      </c>
      <c r="G33" s="254">
        <v>18180</v>
      </c>
      <c r="H33" s="253">
        <f t="shared" si="2"/>
        <v>4680</v>
      </c>
      <c r="I33" s="256">
        <v>42160</v>
      </c>
      <c r="J33" s="255">
        <f t="shared" si="0"/>
        <v>28660</v>
      </c>
      <c r="K33" s="255">
        <f t="shared" si="3"/>
        <v>23980</v>
      </c>
    </row>
    <row r="34" spans="1:11" ht="15">
      <c r="A34" s="245"/>
      <c r="B34" s="245"/>
      <c r="C34" s="245"/>
      <c r="D34" s="245" t="s">
        <v>30</v>
      </c>
      <c r="E34" s="245" t="s">
        <v>81</v>
      </c>
      <c r="F34" s="253">
        <v>120000</v>
      </c>
      <c r="G34" s="254">
        <v>120000</v>
      </c>
      <c r="H34" s="253">
        <f t="shared" si="2"/>
        <v>0</v>
      </c>
      <c r="I34" s="256">
        <v>120000</v>
      </c>
      <c r="J34" s="255">
        <f t="shared" si="0"/>
        <v>0</v>
      </c>
      <c r="K34" s="255">
        <f t="shared" si="3"/>
        <v>0</v>
      </c>
    </row>
    <row r="35" spans="1:11" ht="15">
      <c r="A35" s="245"/>
      <c r="B35" s="245"/>
      <c r="C35" s="245"/>
      <c r="D35" s="245" t="s">
        <v>31</v>
      </c>
      <c r="E35" s="245" t="s">
        <v>83</v>
      </c>
      <c r="F35" s="253">
        <v>101000</v>
      </c>
      <c r="G35" s="254">
        <v>101000</v>
      </c>
      <c r="H35" s="253">
        <f t="shared" si="2"/>
        <v>0</v>
      </c>
      <c r="I35" s="256">
        <v>101000</v>
      </c>
      <c r="J35" s="255">
        <f t="shared" si="0"/>
        <v>0</v>
      </c>
      <c r="K35" s="255">
        <f t="shared" si="3"/>
        <v>0</v>
      </c>
    </row>
    <row r="36" spans="1:11" ht="15">
      <c r="A36" s="245"/>
      <c r="B36" s="245"/>
      <c r="C36" s="245"/>
      <c r="D36" s="245" t="s">
        <v>32</v>
      </c>
      <c r="E36" s="245" t="s">
        <v>56</v>
      </c>
      <c r="F36" s="253">
        <v>900000</v>
      </c>
      <c r="G36" s="254">
        <f>900000+200000</f>
        <v>1100000</v>
      </c>
      <c r="H36" s="253">
        <f t="shared" si="2"/>
        <v>200000</v>
      </c>
      <c r="I36" s="256">
        <v>1350000</v>
      </c>
      <c r="J36" s="255">
        <f t="shared" si="0"/>
        <v>450000</v>
      </c>
      <c r="K36" s="255">
        <f t="shared" si="3"/>
        <v>250000</v>
      </c>
    </row>
    <row r="37" spans="1:11" ht="15">
      <c r="A37" s="245"/>
      <c r="B37" s="245"/>
      <c r="C37" s="245"/>
      <c r="D37" s="245" t="s">
        <v>35</v>
      </c>
      <c r="E37" s="245" t="s">
        <v>64</v>
      </c>
      <c r="F37" s="253">
        <v>42000</v>
      </c>
      <c r="G37" s="254">
        <v>42000</v>
      </c>
      <c r="H37" s="253">
        <f t="shared" si="2"/>
        <v>0</v>
      </c>
      <c r="I37" s="256">
        <v>42000</v>
      </c>
      <c r="J37" s="255">
        <f t="shared" si="0"/>
        <v>0</v>
      </c>
      <c r="K37" s="255">
        <f t="shared" si="3"/>
        <v>0</v>
      </c>
    </row>
    <row r="38" spans="1:11" ht="15">
      <c r="A38" s="245"/>
      <c r="B38" s="245"/>
      <c r="C38" s="245"/>
      <c r="D38" s="245" t="s">
        <v>37</v>
      </c>
      <c r="E38" s="245" t="s">
        <v>85</v>
      </c>
      <c r="F38" s="253">
        <v>5000</v>
      </c>
      <c r="G38" s="254">
        <v>5000</v>
      </c>
      <c r="H38" s="253">
        <f t="shared" si="2"/>
        <v>0</v>
      </c>
      <c r="I38" s="256">
        <v>5000</v>
      </c>
      <c r="J38" s="255">
        <f t="shared" si="0"/>
        <v>0</v>
      </c>
      <c r="K38" s="255">
        <f t="shared" si="3"/>
        <v>0</v>
      </c>
    </row>
    <row r="39" spans="1:11" ht="15">
      <c r="A39" s="245"/>
      <c r="B39" s="245"/>
      <c r="C39" s="245"/>
      <c r="D39" s="245" t="s">
        <v>38</v>
      </c>
      <c r="E39" s="245" t="s">
        <v>68</v>
      </c>
      <c r="F39" s="253">
        <v>11500</v>
      </c>
      <c r="G39" s="254">
        <v>11500</v>
      </c>
      <c r="H39" s="253">
        <f t="shared" si="2"/>
        <v>0</v>
      </c>
      <c r="I39" s="256">
        <v>11500</v>
      </c>
      <c r="J39" s="255">
        <f t="shared" si="0"/>
        <v>0</v>
      </c>
      <c r="K39" s="255">
        <f t="shared" si="3"/>
        <v>0</v>
      </c>
    </row>
    <row r="40" spans="1:11" ht="15">
      <c r="A40" s="245"/>
      <c r="B40" s="245"/>
      <c r="C40" s="245"/>
      <c r="D40" s="257">
        <v>3296</v>
      </c>
      <c r="E40" s="245" t="s">
        <v>217</v>
      </c>
      <c r="F40" s="253">
        <v>0</v>
      </c>
      <c r="G40" s="254">
        <v>20000</v>
      </c>
      <c r="H40" s="253">
        <f t="shared" si="2"/>
        <v>20000</v>
      </c>
      <c r="I40" s="256">
        <v>20000</v>
      </c>
      <c r="J40" s="255">
        <f t="shared" si="0"/>
        <v>20000</v>
      </c>
      <c r="K40" s="255">
        <f t="shared" si="3"/>
        <v>0</v>
      </c>
    </row>
    <row r="41" spans="1:11" ht="15">
      <c r="A41" s="245"/>
      <c r="B41" s="245"/>
      <c r="C41" s="245"/>
      <c r="D41" s="245" t="s">
        <v>40</v>
      </c>
      <c r="E41" s="245" t="s">
        <v>88</v>
      </c>
      <c r="F41" s="253">
        <v>1000</v>
      </c>
      <c r="G41" s="254">
        <v>1000</v>
      </c>
      <c r="H41" s="253">
        <f t="shared" si="2"/>
        <v>0</v>
      </c>
      <c r="I41" s="256">
        <v>1000</v>
      </c>
      <c r="J41" s="255">
        <f t="shared" si="0"/>
        <v>0</v>
      </c>
      <c r="K41" s="255">
        <f t="shared" si="3"/>
        <v>0</v>
      </c>
    </row>
    <row r="42" spans="1:11" ht="15">
      <c r="A42" s="245"/>
      <c r="B42" s="245"/>
      <c r="C42" s="245"/>
      <c r="D42" s="245" t="s">
        <v>42</v>
      </c>
      <c r="E42" s="245" t="s">
        <v>93</v>
      </c>
      <c r="F42" s="253">
        <v>5000</v>
      </c>
      <c r="G42" s="254">
        <v>5500</v>
      </c>
      <c r="H42" s="253">
        <f t="shared" si="2"/>
        <v>500</v>
      </c>
      <c r="I42" s="256">
        <v>5500</v>
      </c>
      <c r="J42" s="255">
        <f t="shared" si="0"/>
        <v>500</v>
      </c>
      <c r="K42" s="255">
        <f t="shared" si="3"/>
        <v>0</v>
      </c>
    </row>
    <row r="43" spans="1:11" ht="15">
      <c r="A43" s="245"/>
      <c r="B43" s="245"/>
      <c r="C43" s="245"/>
      <c r="D43" s="257">
        <v>3433</v>
      </c>
      <c r="E43" s="245" t="s">
        <v>216</v>
      </c>
      <c r="F43" s="253">
        <v>0</v>
      </c>
      <c r="G43" s="254">
        <v>25000</v>
      </c>
      <c r="H43" s="253">
        <f t="shared" si="2"/>
        <v>25000</v>
      </c>
      <c r="I43" s="256">
        <v>25000</v>
      </c>
      <c r="J43" s="255">
        <f t="shared" si="0"/>
        <v>25000</v>
      </c>
      <c r="K43" s="255">
        <f t="shared" si="3"/>
        <v>0</v>
      </c>
    </row>
    <row r="44" spans="1:15" ht="23.25" customHeight="1">
      <c r="A44" s="245"/>
      <c r="B44" s="246" t="s">
        <v>121</v>
      </c>
      <c r="C44" s="246" t="s">
        <v>139</v>
      </c>
      <c r="D44" s="246"/>
      <c r="E44" s="246"/>
      <c r="F44" s="247">
        <f>SUBTOTAL(9,F45:F64)</f>
        <v>1756500</v>
      </c>
      <c r="G44" s="248">
        <f>SUBTOTAL(9,G45:G64)</f>
        <v>1919937.52</v>
      </c>
      <c r="H44" s="248">
        <f>+G44-F44</f>
        <v>163437.52000000002</v>
      </c>
      <c r="I44" s="248">
        <f>SUBTOTAL(9,I45:I64)</f>
        <v>2669937.52</v>
      </c>
      <c r="J44" s="247">
        <f>+I44-F44</f>
        <v>913437.52</v>
      </c>
      <c r="K44" s="247">
        <f>+I44-G44</f>
        <v>750000</v>
      </c>
      <c r="N44" s="249"/>
      <c r="O44" s="249"/>
    </row>
    <row r="45" spans="1:11" ht="30" customHeight="1" hidden="1">
      <c r="A45" s="245"/>
      <c r="B45" s="246"/>
      <c r="C45" s="246"/>
      <c r="D45" s="246"/>
      <c r="E45" s="246"/>
      <c r="F45" s="247"/>
      <c r="G45" s="244"/>
      <c r="H45" s="247"/>
      <c r="I45" s="244"/>
      <c r="J45" s="247"/>
      <c r="K45" s="247"/>
    </row>
    <row r="46" spans="1:11" ht="15">
      <c r="A46" s="245"/>
      <c r="B46" s="245"/>
      <c r="C46" s="251" t="s">
        <v>1</v>
      </c>
      <c r="D46" s="251" t="s">
        <v>76</v>
      </c>
      <c r="E46" s="251"/>
      <c r="F46" s="252">
        <f>SUBTOTAL(9,F47:F64)</f>
        <v>1756500</v>
      </c>
      <c r="G46" s="244">
        <f>SUBTOTAL(9,G47:G64)</f>
        <v>1919937.52</v>
      </c>
      <c r="H46" s="252">
        <f>SUM(H48:H64)</f>
        <v>163437.52000000002</v>
      </c>
      <c r="I46" s="244">
        <f>SUBTOTAL(9,I47:I64)</f>
        <v>2669937.52</v>
      </c>
      <c r="J46" s="252">
        <f>SUBTOTAL(9,J47:J64)</f>
        <v>913437.52</v>
      </c>
      <c r="K46" s="252">
        <f>SUBTOTAL(9,K47:K64)</f>
        <v>750000</v>
      </c>
    </row>
    <row r="47" spans="1:11" ht="15" hidden="1">
      <c r="A47" s="245"/>
      <c r="B47" s="245"/>
      <c r="C47" s="245"/>
      <c r="D47" s="245"/>
      <c r="E47" s="245"/>
      <c r="F47" s="253"/>
      <c r="G47" s="254"/>
      <c r="H47" s="253"/>
      <c r="I47" s="250"/>
      <c r="J47" s="245"/>
      <c r="K47" s="245"/>
    </row>
    <row r="48" spans="1:11" ht="15">
      <c r="A48" s="245"/>
      <c r="B48" s="245"/>
      <c r="C48" s="245"/>
      <c r="D48" s="245" t="s">
        <v>17</v>
      </c>
      <c r="E48" s="245" t="s">
        <v>95</v>
      </c>
      <c r="F48" s="253">
        <v>124500</v>
      </c>
      <c r="G48" s="254">
        <v>124500</v>
      </c>
      <c r="H48" s="253">
        <f>+G48-F48</f>
        <v>0</v>
      </c>
      <c r="I48" s="256">
        <v>124500</v>
      </c>
      <c r="J48" s="255">
        <f aca="true" t="shared" si="4" ref="J48:J65">+I48-F48</f>
        <v>0</v>
      </c>
      <c r="K48" s="255">
        <f>+I48-G48</f>
        <v>0</v>
      </c>
    </row>
    <row r="49" spans="1:11" ht="15">
      <c r="A49" s="245"/>
      <c r="B49" s="245"/>
      <c r="C49" s="245"/>
      <c r="D49" s="245" t="s">
        <v>18</v>
      </c>
      <c r="E49" s="245" t="s">
        <v>70</v>
      </c>
      <c r="F49" s="253">
        <v>40000</v>
      </c>
      <c r="G49" s="254">
        <v>40000</v>
      </c>
      <c r="H49" s="253">
        <f aca="true" t="shared" si="5" ref="H49:H64">+G49-F49</f>
        <v>0</v>
      </c>
      <c r="I49" s="256">
        <v>40000</v>
      </c>
      <c r="J49" s="255">
        <f t="shared" si="4"/>
        <v>0</v>
      </c>
      <c r="K49" s="255">
        <f aca="true" t="shared" si="6" ref="K49:K64">+I49-G49</f>
        <v>0</v>
      </c>
    </row>
    <row r="50" spans="1:11" ht="15">
      <c r="A50" s="245"/>
      <c r="B50" s="245"/>
      <c r="C50" s="245"/>
      <c r="D50" s="257">
        <v>3224</v>
      </c>
      <c r="E50" s="245" t="s">
        <v>212</v>
      </c>
      <c r="F50" s="253">
        <v>0</v>
      </c>
      <c r="G50" s="254">
        <f>200000+30000+50000+21999</f>
        <v>301999</v>
      </c>
      <c r="H50" s="253">
        <f t="shared" si="5"/>
        <v>301999</v>
      </c>
      <c r="I50" s="256">
        <v>139499</v>
      </c>
      <c r="J50" s="255">
        <f t="shared" si="4"/>
        <v>139499</v>
      </c>
      <c r="K50" s="255">
        <f t="shared" si="6"/>
        <v>-162500</v>
      </c>
    </row>
    <row r="51" spans="1:11" ht="15">
      <c r="A51" s="245"/>
      <c r="B51" s="245"/>
      <c r="C51" s="245"/>
      <c r="D51" s="257" t="s">
        <v>21</v>
      </c>
      <c r="E51" s="245" t="s">
        <v>78</v>
      </c>
      <c r="F51" s="253">
        <v>12105.52</v>
      </c>
      <c r="G51" s="254">
        <v>12105.52</v>
      </c>
      <c r="H51" s="253">
        <f t="shared" si="5"/>
        <v>0</v>
      </c>
      <c r="I51" s="256">
        <v>12105.52</v>
      </c>
      <c r="J51" s="255">
        <f t="shared" si="4"/>
        <v>0</v>
      </c>
      <c r="K51" s="255">
        <f t="shared" si="6"/>
        <v>0</v>
      </c>
    </row>
    <row r="52" spans="1:11" ht="15">
      <c r="A52" s="245"/>
      <c r="B52" s="245"/>
      <c r="C52" s="245"/>
      <c r="D52" s="257" t="s">
        <v>24</v>
      </c>
      <c r="E52" s="245" t="s">
        <v>100</v>
      </c>
      <c r="F52" s="253">
        <v>4000</v>
      </c>
      <c r="G52" s="254">
        <f>4000+200000+100000</f>
        <v>304000</v>
      </c>
      <c r="H52" s="253">
        <f t="shared" si="5"/>
        <v>300000</v>
      </c>
      <c r="I52" s="256">
        <v>304000</v>
      </c>
      <c r="J52" s="255">
        <f t="shared" si="4"/>
        <v>300000</v>
      </c>
      <c r="K52" s="255">
        <f t="shared" si="6"/>
        <v>0</v>
      </c>
    </row>
    <row r="53" spans="1:11" ht="15">
      <c r="A53" s="245"/>
      <c r="B53" s="245"/>
      <c r="C53" s="245"/>
      <c r="D53" s="257">
        <v>3232</v>
      </c>
      <c r="E53" s="245" t="s">
        <v>213</v>
      </c>
      <c r="F53" s="253">
        <v>0</v>
      </c>
      <c r="G53" s="254"/>
      <c r="H53" s="253">
        <f t="shared" si="5"/>
        <v>0</v>
      </c>
      <c r="I53" s="256">
        <v>75000</v>
      </c>
      <c r="J53" s="255">
        <f t="shared" si="4"/>
        <v>75000</v>
      </c>
      <c r="K53" s="255">
        <f t="shared" si="6"/>
        <v>75000</v>
      </c>
    </row>
    <row r="54" spans="1:11" ht="15">
      <c r="A54" s="245"/>
      <c r="B54" s="245"/>
      <c r="C54" s="245"/>
      <c r="D54" s="257" t="s">
        <v>26</v>
      </c>
      <c r="E54" s="245" t="s">
        <v>98</v>
      </c>
      <c r="F54" s="253">
        <v>30000</v>
      </c>
      <c r="G54" s="254">
        <v>30000</v>
      </c>
      <c r="H54" s="253">
        <f t="shared" si="5"/>
        <v>0</v>
      </c>
      <c r="I54" s="256">
        <v>30000</v>
      </c>
      <c r="J54" s="255">
        <f t="shared" si="4"/>
        <v>0</v>
      </c>
      <c r="K54" s="255">
        <f t="shared" si="6"/>
        <v>0</v>
      </c>
    </row>
    <row r="55" spans="1:11" ht="15">
      <c r="A55" s="245"/>
      <c r="B55" s="245"/>
      <c r="C55" s="245"/>
      <c r="D55" s="245" t="s">
        <v>30</v>
      </c>
      <c r="E55" s="245" t="s">
        <v>81</v>
      </c>
      <c r="F55" s="253">
        <v>132500</v>
      </c>
      <c r="G55" s="254">
        <f>132500+200000</f>
        <v>332500</v>
      </c>
      <c r="H55" s="253">
        <f t="shared" si="5"/>
        <v>200000</v>
      </c>
      <c r="I55" s="256">
        <v>332500</v>
      </c>
      <c r="J55" s="255">
        <f t="shared" si="4"/>
        <v>200000</v>
      </c>
      <c r="K55" s="255">
        <f t="shared" si="6"/>
        <v>0</v>
      </c>
    </row>
    <row r="56" spans="1:11" ht="15">
      <c r="A56" s="245"/>
      <c r="B56" s="245"/>
      <c r="C56" s="245"/>
      <c r="D56" s="245" t="s">
        <v>31</v>
      </c>
      <c r="E56" s="245" t="s">
        <v>83</v>
      </c>
      <c r="F56" s="253">
        <v>12500</v>
      </c>
      <c r="G56" s="254">
        <v>12500</v>
      </c>
      <c r="H56" s="253">
        <f t="shared" si="5"/>
        <v>0</v>
      </c>
      <c r="I56" s="256">
        <v>12500</v>
      </c>
      <c r="J56" s="255">
        <f t="shared" si="4"/>
        <v>0</v>
      </c>
      <c r="K56" s="255">
        <f t="shared" si="6"/>
        <v>0</v>
      </c>
    </row>
    <row r="57" spans="1:11" ht="15">
      <c r="A57" s="245"/>
      <c r="B57" s="245"/>
      <c r="C57" s="245"/>
      <c r="D57" s="245" t="s">
        <v>32</v>
      </c>
      <c r="E57" s="245" t="s">
        <v>56</v>
      </c>
      <c r="F57" s="253">
        <v>261500</v>
      </c>
      <c r="G57" s="254">
        <v>261500</v>
      </c>
      <c r="H57" s="253">
        <f t="shared" si="5"/>
        <v>0</v>
      </c>
      <c r="I57" s="256">
        <v>261500</v>
      </c>
      <c r="J57" s="255">
        <f t="shared" si="4"/>
        <v>0</v>
      </c>
      <c r="K57" s="255">
        <f t="shared" si="6"/>
        <v>0</v>
      </c>
    </row>
    <row r="58" spans="1:11" ht="15">
      <c r="A58" s="245"/>
      <c r="B58" s="245"/>
      <c r="C58" s="245"/>
      <c r="D58" s="245" t="s">
        <v>35</v>
      </c>
      <c r="E58" s="245" t="s">
        <v>64</v>
      </c>
      <c r="F58" s="253">
        <v>5000</v>
      </c>
      <c r="G58" s="254">
        <v>50000</v>
      </c>
      <c r="H58" s="253">
        <f t="shared" si="5"/>
        <v>45000</v>
      </c>
      <c r="I58" s="256">
        <v>50000</v>
      </c>
      <c r="J58" s="255">
        <f t="shared" si="4"/>
        <v>45000</v>
      </c>
      <c r="K58" s="255">
        <f t="shared" si="6"/>
        <v>0</v>
      </c>
    </row>
    <row r="59" spans="1:11" ht="15">
      <c r="A59" s="245"/>
      <c r="B59" s="245"/>
      <c r="C59" s="245"/>
      <c r="D59" s="245" t="s">
        <v>38</v>
      </c>
      <c r="E59" s="245" t="s">
        <v>68</v>
      </c>
      <c r="F59" s="253">
        <v>41000</v>
      </c>
      <c r="G59" s="254">
        <v>41000</v>
      </c>
      <c r="H59" s="253">
        <f t="shared" si="5"/>
        <v>0</v>
      </c>
      <c r="I59" s="256">
        <v>41000</v>
      </c>
      <c r="J59" s="255">
        <f t="shared" si="4"/>
        <v>0</v>
      </c>
      <c r="K59" s="255">
        <f t="shared" si="6"/>
        <v>0</v>
      </c>
    </row>
    <row r="60" spans="1:11" ht="15">
      <c r="A60" s="245"/>
      <c r="B60" s="245"/>
      <c r="C60" s="245"/>
      <c r="D60" s="245" t="s">
        <v>140</v>
      </c>
      <c r="E60" s="245" t="s">
        <v>141</v>
      </c>
      <c r="F60" s="253">
        <v>21832</v>
      </c>
      <c r="G60" s="254">
        <v>21833</v>
      </c>
      <c r="H60" s="253">
        <f t="shared" si="5"/>
        <v>1</v>
      </c>
      <c r="I60" s="256">
        <v>21833</v>
      </c>
      <c r="J60" s="255">
        <f t="shared" si="4"/>
        <v>1</v>
      </c>
      <c r="K60" s="255">
        <f t="shared" si="6"/>
        <v>0</v>
      </c>
    </row>
    <row r="61" spans="1:11" ht="15">
      <c r="A61" s="245"/>
      <c r="B61" s="245"/>
      <c r="C61" s="245"/>
      <c r="D61" s="245" t="s">
        <v>142</v>
      </c>
      <c r="E61" s="245" t="s">
        <v>143</v>
      </c>
      <c r="F61" s="253">
        <v>1000000</v>
      </c>
      <c r="G61" s="254">
        <f>1000000-200000-90000-200000-50000-100000-200000-22000</f>
        <v>138000</v>
      </c>
      <c r="H61" s="253">
        <f t="shared" si="5"/>
        <v>-862000</v>
      </c>
      <c r="I61" s="256">
        <v>938000</v>
      </c>
      <c r="J61" s="255">
        <f t="shared" si="4"/>
        <v>-62000</v>
      </c>
      <c r="K61" s="255">
        <f t="shared" si="6"/>
        <v>800000</v>
      </c>
    </row>
    <row r="62" spans="1:11" ht="15">
      <c r="A62" s="245"/>
      <c r="B62" s="245"/>
      <c r="C62" s="245"/>
      <c r="D62" s="245" t="s">
        <v>144</v>
      </c>
      <c r="E62" s="245" t="s">
        <v>145</v>
      </c>
      <c r="F62" s="253">
        <v>71562.48</v>
      </c>
      <c r="G62" s="254">
        <v>160000</v>
      </c>
      <c r="H62" s="253">
        <f t="shared" si="5"/>
        <v>88437.52</v>
      </c>
      <c r="I62" s="256">
        <v>160000</v>
      </c>
      <c r="J62" s="255">
        <f t="shared" si="4"/>
        <v>88437.52</v>
      </c>
      <c r="K62" s="255">
        <f t="shared" si="6"/>
        <v>0</v>
      </c>
    </row>
    <row r="63" spans="1:11" ht="15">
      <c r="A63" s="245"/>
      <c r="B63" s="245"/>
      <c r="C63" s="245"/>
      <c r="D63" s="212" t="s">
        <v>222</v>
      </c>
      <c r="E63" s="212" t="s">
        <v>223</v>
      </c>
      <c r="F63" s="253">
        <v>0</v>
      </c>
      <c r="G63" s="254">
        <v>0</v>
      </c>
      <c r="H63" s="253">
        <f t="shared" si="5"/>
        <v>0</v>
      </c>
      <c r="I63" s="256">
        <v>37500</v>
      </c>
      <c r="J63" s="255">
        <f t="shared" si="4"/>
        <v>37500</v>
      </c>
      <c r="K63" s="255">
        <f t="shared" si="6"/>
        <v>37500</v>
      </c>
    </row>
    <row r="64" spans="1:11" ht="12" customHeight="1">
      <c r="A64" s="245"/>
      <c r="B64" s="245"/>
      <c r="C64" s="245"/>
      <c r="D64" s="257">
        <v>4511</v>
      </c>
      <c r="E64" s="245" t="s">
        <v>208</v>
      </c>
      <c r="F64" s="253">
        <v>0</v>
      </c>
      <c r="G64" s="254">
        <f>+(72000*0.25)+72000</f>
        <v>90000</v>
      </c>
      <c r="H64" s="253">
        <f t="shared" si="5"/>
        <v>90000</v>
      </c>
      <c r="I64" s="256">
        <v>90000</v>
      </c>
      <c r="J64" s="255">
        <f t="shared" si="4"/>
        <v>90000</v>
      </c>
      <c r="K64" s="255">
        <f t="shared" si="6"/>
        <v>0</v>
      </c>
    </row>
    <row r="65" spans="1:11" ht="23.25" customHeight="1">
      <c r="A65" s="245"/>
      <c r="B65" s="246" t="s">
        <v>146</v>
      </c>
      <c r="C65" s="246" t="s">
        <v>147</v>
      </c>
      <c r="D65" s="246"/>
      <c r="E65" s="246"/>
      <c r="F65" s="247">
        <f>SUBTOTAL(9,F66:F97)</f>
        <v>59208</v>
      </c>
      <c r="G65" s="248">
        <f>SUBTOTAL(9,G66:G97)</f>
        <v>85920</v>
      </c>
      <c r="H65" s="248">
        <f>+G65-F65</f>
        <v>26712</v>
      </c>
      <c r="I65" s="248">
        <f>SUBTOTAL(9,I66:I97)</f>
        <v>136048.3</v>
      </c>
      <c r="J65" s="247">
        <f t="shared" si="4"/>
        <v>76840.29999999999</v>
      </c>
      <c r="K65" s="247">
        <f>+I65-G65</f>
        <v>50128.29999999999</v>
      </c>
    </row>
    <row r="66" spans="1:11" ht="30" customHeight="1" hidden="1">
      <c r="A66" s="245"/>
      <c r="B66" s="246"/>
      <c r="C66" s="246"/>
      <c r="D66" s="246"/>
      <c r="E66" s="246"/>
      <c r="F66" s="247"/>
      <c r="G66" s="244"/>
      <c r="H66" s="247"/>
      <c r="I66" s="244"/>
      <c r="J66" s="247"/>
      <c r="K66" s="247"/>
    </row>
    <row r="67" spans="1:11" ht="15">
      <c r="A67" s="245"/>
      <c r="B67" s="245"/>
      <c r="C67" s="251" t="s">
        <v>2</v>
      </c>
      <c r="D67" s="251" t="s">
        <v>119</v>
      </c>
      <c r="E67" s="251"/>
      <c r="F67" s="252">
        <f>SUBTOTAL(9,F68:F86)</f>
        <v>41208</v>
      </c>
      <c r="G67" s="244">
        <f>SUBTOTAL(9,G68:G86)</f>
        <v>67920</v>
      </c>
      <c r="H67" s="252">
        <f>SUM(H69:H85)</f>
        <v>26712</v>
      </c>
      <c r="I67" s="244">
        <f>SUBTOTAL(9,I68:I86)</f>
        <v>118048.3</v>
      </c>
      <c r="J67" s="252">
        <f>SUBTOTAL(9,J68:J86)</f>
        <v>76840.3</v>
      </c>
      <c r="K67" s="252">
        <f>SUBTOTAL(9,K68:K86)</f>
        <v>50128.3</v>
      </c>
    </row>
    <row r="68" spans="1:11" ht="15" hidden="1">
      <c r="A68" s="245"/>
      <c r="B68" s="245"/>
      <c r="C68" s="245"/>
      <c r="D68" s="245"/>
      <c r="E68" s="245"/>
      <c r="F68" s="253"/>
      <c r="G68" s="254"/>
      <c r="H68" s="253"/>
      <c r="I68" s="250"/>
      <c r="J68" s="245"/>
      <c r="K68" s="245"/>
    </row>
    <row r="69" spans="1:12" ht="15">
      <c r="A69" s="245"/>
      <c r="B69" s="245"/>
      <c r="C69" s="245"/>
      <c r="D69" s="245" t="s">
        <v>10</v>
      </c>
      <c r="E69" s="245" t="s">
        <v>79</v>
      </c>
      <c r="F69" s="253">
        <v>20000</v>
      </c>
      <c r="G69" s="254">
        <v>40000</v>
      </c>
      <c r="H69" s="253">
        <f>+G69-F69</f>
        <v>20000</v>
      </c>
      <c r="I69" s="256">
        <v>40000</v>
      </c>
      <c r="J69" s="255">
        <f>+I69-F69</f>
        <v>20000</v>
      </c>
      <c r="K69" s="255">
        <f>+I69-G69</f>
        <v>0</v>
      </c>
      <c r="L69" s="209"/>
    </row>
    <row r="70" spans="1:12" ht="15">
      <c r="A70" s="245"/>
      <c r="B70" s="245"/>
      <c r="C70" s="245"/>
      <c r="D70" s="245" t="s">
        <v>17</v>
      </c>
      <c r="E70" s="245" t="s">
        <v>95</v>
      </c>
      <c r="F70" s="253">
        <v>0</v>
      </c>
      <c r="G70" s="254">
        <v>1500</v>
      </c>
      <c r="H70" s="253">
        <f aca="true" t="shared" si="7" ref="H70:H86">+G70-F70</f>
        <v>1500</v>
      </c>
      <c r="I70" s="256">
        <v>1500</v>
      </c>
      <c r="J70" s="255">
        <f aca="true" t="shared" si="8" ref="J70:J86">+I70-F70</f>
        <v>1500</v>
      </c>
      <c r="K70" s="255">
        <f aca="true" t="shared" si="9" ref="K70:K85">+I70-G70</f>
        <v>0</v>
      </c>
      <c r="L70" s="209"/>
    </row>
    <row r="71" spans="1:12" ht="15">
      <c r="A71" s="245"/>
      <c r="B71" s="245"/>
      <c r="C71" s="257"/>
      <c r="D71" s="257">
        <v>3222</v>
      </c>
      <c r="E71" s="245" t="s">
        <v>218</v>
      </c>
      <c r="F71" s="253">
        <v>0</v>
      </c>
      <c r="G71" s="254">
        <v>750</v>
      </c>
      <c r="H71" s="253">
        <f t="shared" si="7"/>
        <v>750</v>
      </c>
      <c r="I71" s="256">
        <v>750</v>
      </c>
      <c r="J71" s="255">
        <f t="shared" si="8"/>
        <v>750</v>
      </c>
      <c r="K71" s="255">
        <f t="shared" si="9"/>
        <v>0</v>
      </c>
      <c r="L71" s="209"/>
    </row>
    <row r="72" spans="1:12" ht="15">
      <c r="A72" s="245"/>
      <c r="B72" s="245"/>
      <c r="C72" s="257"/>
      <c r="D72" s="257" t="s">
        <v>19</v>
      </c>
      <c r="E72" s="245" t="s">
        <v>51</v>
      </c>
      <c r="F72" s="253">
        <v>5000</v>
      </c>
      <c r="G72" s="254">
        <f>5000-1500-1000-2000</f>
        <v>500</v>
      </c>
      <c r="H72" s="253">
        <f t="shared" si="7"/>
        <v>-4500</v>
      </c>
      <c r="I72" s="256">
        <v>400</v>
      </c>
      <c r="J72" s="255">
        <f t="shared" si="8"/>
        <v>-4600</v>
      </c>
      <c r="K72" s="255">
        <f t="shared" si="9"/>
        <v>-100</v>
      </c>
      <c r="L72" s="209"/>
    </row>
    <row r="73" spans="1:12" ht="15">
      <c r="A73" s="245"/>
      <c r="B73" s="245"/>
      <c r="C73" s="257"/>
      <c r="D73" s="212" t="s">
        <v>23</v>
      </c>
      <c r="E73" s="212" t="s">
        <v>103</v>
      </c>
      <c r="F73" s="253">
        <v>0</v>
      </c>
      <c r="G73" s="254">
        <v>0</v>
      </c>
      <c r="H73" s="253">
        <f t="shared" si="7"/>
        <v>0</v>
      </c>
      <c r="I73" s="256">
        <v>100</v>
      </c>
      <c r="J73" s="255">
        <f t="shared" si="8"/>
        <v>100</v>
      </c>
      <c r="K73" s="255">
        <f t="shared" si="9"/>
        <v>100</v>
      </c>
      <c r="L73" s="209"/>
    </row>
    <row r="74" spans="1:12" ht="15">
      <c r="A74" s="245"/>
      <c r="B74" s="245"/>
      <c r="C74" s="257"/>
      <c r="D74" s="257">
        <v>3231</v>
      </c>
      <c r="E74" s="245" t="s">
        <v>100</v>
      </c>
      <c r="F74" s="253">
        <v>0</v>
      </c>
      <c r="G74" s="254">
        <v>1000</v>
      </c>
      <c r="H74" s="253">
        <f t="shared" si="7"/>
        <v>1000</v>
      </c>
      <c r="I74" s="256">
        <v>1000</v>
      </c>
      <c r="J74" s="255">
        <f t="shared" si="8"/>
        <v>1000</v>
      </c>
      <c r="K74" s="255">
        <f t="shared" si="9"/>
        <v>0</v>
      </c>
      <c r="L74" s="209"/>
    </row>
    <row r="75" spans="1:12" ht="15">
      <c r="A75" s="245"/>
      <c r="B75" s="245"/>
      <c r="C75" s="257"/>
      <c r="D75" s="257" t="s">
        <v>25</v>
      </c>
      <c r="E75" s="245" t="s">
        <v>104</v>
      </c>
      <c r="F75" s="253">
        <v>5000</v>
      </c>
      <c r="G75" s="254">
        <f>5000-2000-1000</f>
        <v>2000</v>
      </c>
      <c r="H75" s="253">
        <f t="shared" si="7"/>
        <v>-3000</v>
      </c>
      <c r="I75" s="256">
        <v>1450</v>
      </c>
      <c r="J75" s="255">
        <f t="shared" si="8"/>
        <v>-3550</v>
      </c>
      <c r="K75" s="255">
        <f t="shared" si="9"/>
        <v>-550</v>
      </c>
      <c r="L75" s="209"/>
    </row>
    <row r="76" spans="1:12" ht="15">
      <c r="A76" s="245"/>
      <c r="B76" s="245"/>
      <c r="C76" s="257"/>
      <c r="D76" s="257">
        <v>3234</v>
      </c>
      <c r="E76" s="245" t="s">
        <v>180</v>
      </c>
      <c r="F76" s="253">
        <v>0</v>
      </c>
      <c r="G76" s="254">
        <f>2000-750</f>
        <v>1250</v>
      </c>
      <c r="H76" s="253">
        <f t="shared" si="7"/>
        <v>1250</v>
      </c>
      <c r="I76" s="256">
        <v>1800</v>
      </c>
      <c r="J76" s="255">
        <f t="shared" si="8"/>
        <v>1800</v>
      </c>
      <c r="K76" s="255">
        <f t="shared" si="9"/>
        <v>550</v>
      </c>
      <c r="L76" s="209"/>
    </row>
    <row r="77" spans="1:12" ht="15">
      <c r="A77" s="245"/>
      <c r="B77" s="245"/>
      <c r="C77" s="257"/>
      <c r="D77" s="257" t="s">
        <v>31</v>
      </c>
      <c r="E77" s="245" t="s">
        <v>83</v>
      </c>
      <c r="F77" s="253">
        <v>7000</v>
      </c>
      <c r="G77" s="254">
        <f>7000-5000-1000</f>
        <v>1000</v>
      </c>
      <c r="H77" s="253">
        <f t="shared" si="7"/>
        <v>-6000</v>
      </c>
      <c r="I77" s="256">
        <v>1000</v>
      </c>
      <c r="J77" s="255">
        <f t="shared" si="8"/>
        <v>-6000</v>
      </c>
      <c r="K77" s="255">
        <f t="shared" si="9"/>
        <v>0</v>
      </c>
      <c r="L77" s="209"/>
    </row>
    <row r="78" spans="1:12" ht="15">
      <c r="A78" s="245"/>
      <c r="B78" s="245"/>
      <c r="C78" s="257"/>
      <c r="D78" s="257">
        <v>3239</v>
      </c>
      <c r="E78" s="245" t="s">
        <v>219</v>
      </c>
      <c r="F78" s="253">
        <v>0</v>
      </c>
      <c r="G78" s="254">
        <v>10000</v>
      </c>
      <c r="H78" s="253">
        <f t="shared" si="7"/>
        <v>10000</v>
      </c>
      <c r="I78" s="256">
        <v>55128.3</v>
      </c>
      <c r="J78" s="255">
        <f t="shared" si="8"/>
        <v>55128.3</v>
      </c>
      <c r="K78" s="255">
        <f t="shared" si="9"/>
        <v>45128.3</v>
      </c>
      <c r="L78" s="209"/>
    </row>
    <row r="79" spans="1:12" ht="15">
      <c r="A79" s="245"/>
      <c r="B79" s="245"/>
      <c r="C79" s="257"/>
      <c r="D79" s="257" t="s">
        <v>35</v>
      </c>
      <c r="E79" s="245" t="s">
        <v>64</v>
      </c>
      <c r="F79" s="253">
        <v>3700</v>
      </c>
      <c r="G79" s="254">
        <f>3700-2000-200</f>
        <v>1500</v>
      </c>
      <c r="H79" s="253">
        <f t="shared" si="7"/>
        <v>-2200</v>
      </c>
      <c r="I79" s="256">
        <v>1500</v>
      </c>
      <c r="J79" s="255">
        <f t="shared" si="8"/>
        <v>-2200</v>
      </c>
      <c r="K79" s="255">
        <f t="shared" si="9"/>
        <v>0</v>
      </c>
      <c r="L79" s="209"/>
    </row>
    <row r="80" spans="1:12" ht="15">
      <c r="A80" s="245"/>
      <c r="B80" s="245"/>
      <c r="C80" s="257"/>
      <c r="D80" s="257">
        <v>3293</v>
      </c>
      <c r="E80" s="245" t="s">
        <v>181</v>
      </c>
      <c r="F80" s="253">
        <v>0</v>
      </c>
      <c r="G80" s="254">
        <v>7500</v>
      </c>
      <c r="H80" s="253">
        <f t="shared" si="7"/>
        <v>7500</v>
      </c>
      <c r="I80" s="256">
        <v>12500</v>
      </c>
      <c r="J80" s="255">
        <f t="shared" si="8"/>
        <v>12500</v>
      </c>
      <c r="K80" s="255">
        <f t="shared" si="9"/>
        <v>5000</v>
      </c>
      <c r="L80" s="209"/>
    </row>
    <row r="81" spans="1:12" ht="15">
      <c r="A81" s="245"/>
      <c r="B81" s="245"/>
      <c r="C81" s="245"/>
      <c r="D81" s="257">
        <v>3295</v>
      </c>
      <c r="E81" s="245" t="s">
        <v>68</v>
      </c>
      <c r="F81" s="253">
        <v>0</v>
      </c>
      <c r="G81" s="254">
        <v>200</v>
      </c>
      <c r="H81" s="253">
        <f t="shared" si="7"/>
        <v>200</v>
      </c>
      <c r="I81" s="256">
        <v>200</v>
      </c>
      <c r="J81" s="255">
        <f t="shared" si="8"/>
        <v>200</v>
      </c>
      <c r="K81" s="255">
        <f t="shared" si="9"/>
        <v>0</v>
      </c>
      <c r="L81" s="209"/>
    </row>
    <row r="82" spans="1:12" ht="15">
      <c r="A82" s="245"/>
      <c r="B82" s="245"/>
      <c r="C82" s="245"/>
      <c r="D82" s="245" t="s">
        <v>42</v>
      </c>
      <c r="E82" s="245" t="s">
        <v>93</v>
      </c>
      <c r="F82" s="253">
        <v>4</v>
      </c>
      <c r="G82" s="254">
        <v>200</v>
      </c>
      <c r="H82" s="253">
        <f t="shared" si="7"/>
        <v>196</v>
      </c>
      <c r="I82" s="256">
        <v>200</v>
      </c>
      <c r="J82" s="255">
        <f t="shared" si="8"/>
        <v>196</v>
      </c>
      <c r="K82" s="255">
        <f t="shared" si="9"/>
        <v>0</v>
      </c>
      <c r="L82" s="209"/>
    </row>
    <row r="83" spans="1:12" ht="15">
      <c r="A83" s="245"/>
      <c r="B83" s="245"/>
      <c r="C83" s="245"/>
      <c r="D83" s="245" t="s">
        <v>43</v>
      </c>
      <c r="E83" s="245" t="s">
        <v>109</v>
      </c>
      <c r="F83" s="253">
        <v>400</v>
      </c>
      <c r="G83" s="254">
        <v>400</v>
      </c>
      <c r="H83" s="253">
        <f t="shared" si="7"/>
        <v>0</v>
      </c>
      <c r="I83" s="256">
        <v>400</v>
      </c>
      <c r="J83" s="255">
        <f t="shared" si="8"/>
        <v>0</v>
      </c>
      <c r="K83" s="255">
        <f t="shared" si="9"/>
        <v>0</v>
      </c>
      <c r="L83" s="209"/>
    </row>
    <row r="84" spans="1:12" ht="15">
      <c r="A84" s="245"/>
      <c r="B84" s="245"/>
      <c r="C84" s="245"/>
      <c r="D84" s="245" t="s">
        <v>44</v>
      </c>
      <c r="E84" s="245" t="s">
        <v>58</v>
      </c>
      <c r="F84" s="253">
        <v>100</v>
      </c>
      <c r="G84" s="254">
        <v>100</v>
      </c>
      <c r="H84" s="253">
        <f t="shared" si="7"/>
        <v>0</v>
      </c>
      <c r="I84" s="256">
        <v>100</v>
      </c>
      <c r="J84" s="255">
        <f t="shared" si="8"/>
        <v>0</v>
      </c>
      <c r="K84" s="255">
        <f t="shared" si="9"/>
        <v>0</v>
      </c>
      <c r="L84" s="209"/>
    </row>
    <row r="85" spans="1:12" ht="15">
      <c r="A85" s="245"/>
      <c r="B85" s="245"/>
      <c r="C85" s="245"/>
      <c r="D85" s="245" t="s">
        <v>45</v>
      </c>
      <c r="E85" s="245" t="s">
        <v>89</v>
      </c>
      <c r="F85" s="253">
        <v>4</v>
      </c>
      <c r="G85" s="254">
        <v>20</v>
      </c>
      <c r="H85" s="253">
        <f t="shared" si="7"/>
        <v>16</v>
      </c>
      <c r="I85" s="256">
        <v>20</v>
      </c>
      <c r="J85" s="255">
        <f t="shared" si="8"/>
        <v>16</v>
      </c>
      <c r="K85" s="255">
        <f t="shared" si="9"/>
        <v>0</v>
      </c>
      <c r="L85" s="209"/>
    </row>
    <row r="86" spans="1:12" ht="15" hidden="1">
      <c r="A86" s="245"/>
      <c r="B86" s="245"/>
      <c r="C86" s="245">
        <v>3</v>
      </c>
      <c r="D86" s="245"/>
      <c r="E86" s="245"/>
      <c r="F86" s="253"/>
      <c r="G86" s="254"/>
      <c r="H86" s="253">
        <f t="shared" si="7"/>
        <v>0</v>
      </c>
      <c r="I86" s="250"/>
      <c r="J86" s="255">
        <f t="shared" si="8"/>
        <v>0</v>
      </c>
      <c r="K86" s="245"/>
      <c r="L86" s="209"/>
    </row>
    <row r="87" spans="1:11" ht="15">
      <c r="A87" s="245"/>
      <c r="B87" s="245"/>
      <c r="C87" s="251" t="s">
        <v>148</v>
      </c>
      <c r="D87" s="251" t="s">
        <v>149</v>
      </c>
      <c r="E87" s="251"/>
      <c r="F87" s="252">
        <f aca="true" t="shared" si="10" ref="F87:K87">SUBTOTAL(9,F88:F96)</f>
        <v>18000</v>
      </c>
      <c r="G87" s="244">
        <f t="shared" si="10"/>
        <v>18000</v>
      </c>
      <c r="H87" s="252">
        <f t="shared" si="10"/>
        <v>0</v>
      </c>
      <c r="I87" s="244">
        <f t="shared" si="10"/>
        <v>18000</v>
      </c>
      <c r="J87" s="252">
        <f t="shared" si="10"/>
        <v>0</v>
      </c>
      <c r="K87" s="252">
        <f t="shared" si="10"/>
        <v>0</v>
      </c>
    </row>
    <row r="88" spans="1:11" ht="15" hidden="1">
      <c r="A88" s="245"/>
      <c r="B88" s="245"/>
      <c r="C88" s="245"/>
      <c r="D88" s="245"/>
      <c r="E88" s="245"/>
      <c r="F88" s="253"/>
      <c r="G88" s="254"/>
      <c r="H88" s="253"/>
      <c r="I88" s="250"/>
      <c r="J88" s="245"/>
      <c r="K88" s="245"/>
    </row>
    <row r="89" spans="1:11" ht="15">
      <c r="A89" s="245"/>
      <c r="B89" s="245"/>
      <c r="C89" s="245"/>
      <c r="D89" s="245" t="s">
        <v>18</v>
      </c>
      <c r="E89" s="245" t="s">
        <v>70</v>
      </c>
      <c r="F89" s="253">
        <v>0</v>
      </c>
      <c r="G89" s="254">
        <v>0</v>
      </c>
      <c r="H89" s="253">
        <f>+F89-G89</f>
        <v>0</v>
      </c>
      <c r="I89" s="256">
        <v>0</v>
      </c>
      <c r="J89" s="258">
        <f>+I89-F89</f>
        <v>0</v>
      </c>
      <c r="K89" s="255">
        <f>+I89-G89</f>
        <v>0</v>
      </c>
    </row>
    <row r="90" spans="1:11" ht="15">
      <c r="A90" s="245"/>
      <c r="B90" s="245"/>
      <c r="C90" s="245"/>
      <c r="D90" s="245" t="s">
        <v>32</v>
      </c>
      <c r="E90" s="245" t="s">
        <v>56</v>
      </c>
      <c r="F90" s="253">
        <v>4000</v>
      </c>
      <c r="G90" s="254">
        <v>4000</v>
      </c>
      <c r="H90" s="253">
        <f aca="true" t="shared" si="11" ref="H90:H95">+F90-G90</f>
        <v>0</v>
      </c>
      <c r="I90" s="256">
        <v>4000</v>
      </c>
      <c r="J90" s="258">
        <f aca="true" t="shared" si="12" ref="J90:J95">+F90-I90</f>
        <v>0</v>
      </c>
      <c r="K90" s="255">
        <f aca="true" t="shared" si="13" ref="K90:K95">+I90-G90</f>
        <v>0</v>
      </c>
    </row>
    <row r="91" spans="1:11" ht="15">
      <c r="A91" s="245"/>
      <c r="B91" s="245"/>
      <c r="C91" s="245"/>
      <c r="D91" s="245" t="s">
        <v>35</v>
      </c>
      <c r="E91" s="245" t="s">
        <v>64</v>
      </c>
      <c r="F91" s="253">
        <v>5000</v>
      </c>
      <c r="G91" s="254">
        <v>5000</v>
      </c>
      <c r="H91" s="253">
        <f t="shared" si="11"/>
        <v>0</v>
      </c>
      <c r="I91" s="256">
        <v>5000</v>
      </c>
      <c r="J91" s="258">
        <f t="shared" si="12"/>
        <v>0</v>
      </c>
      <c r="K91" s="255">
        <f t="shared" si="13"/>
        <v>0</v>
      </c>
    </row>
    <row r="92" spans="1:11" ht="15">
      <c r="A92" s="245"/>
      <c r="B92" s="245"/>
      <c r="C92" s="245"/>
      <c r="D92" s="245" t="s">
        <v>36</v>
      </c>
      <c r="E92" s="245" t="s">
        <v>57</v>
      </c>
      <c r="F92" s="253">
        <v>1000</v>
      </c>
      <c r="G92" s="254">
        <v>1000</v>
      </c>
      <c r="H92" s="253">
        <f t="shared" si="11"/>
        <v>0</v>
      </c>
      <c r="I92" s="256">
        <v>1276</v>
      </c>
      <c r="J92" s="259">
        <f t="shared" si="12"/>
        <v>-276</v>
      </c>
      <c r="K92" s="255">
        <f t="shared" si="13"/>
        <v>276</v>
      </c>
    </row>
    <row r="93" spans="1:11" ht="15">
      <c r="A93" s="245"/>
      <c r="B93" s="245"/>
      <c r="C93" s="245"/>
      <c r="D93" s="245" t="s">
        <v>37</v>
      </c>
      <c r="E93" s="245" t="s">
        <v>85</v>
      </c>
      <c r="F93" s="253">
        <v>1000</v>
      </c>
      <c r="G93" s="254">
        <v>1000</v>
      </c>
      <c r="H93" s="253">
        <f t="shared" si="11"/>
        <v>0</v>
      </c>
      <c r="I93" s="256">
        <v>724</v>
      </c>
      <c r="J93" s="258">
        <f t="shared" si="12"/>
        <v>276</v>
      </c>
      <c r="K93" s="255">
        <f t="shared" si="13"/>
        <v>-276</v>
      </c>
    </row>
    <row r="94" spans="1:11" ht="15">
      <c r="A94" s="245"/>
      <c r="B94" s="245"/>
      <c r="C94" s="245"/>
      <c r="D94" s="245" t="s">
        <v>150</v>
      </c>
      <c r="E94" s="245" t="s">
        <v>117</v>
      </c>
      <c r="F94" s="253">
        <v>2000</v>
      </c>
      <c r="G94" s="254">
        <v>2000</v>
      </c>
      <c r="H94" s="253">
        <f t="shared" si="11"/>
        <v>0</v>
      </c>
      <c r="I94" s="256">
        <v>2000</v>
      </c>
      <c r="J94" s="258">
        <f t="shared" si="12"/>
        <v>0</v>
      </c>
      <c r="K94" s="255">
        <f t="shared" si="13"/>
        <v>0</v>
      </c>
    </row>
    <row r="95" spans="1:11" ht="15">
      <c r="A95" s="245"/>
      <c r="B95" s="245"/>
      <c r="C95" s="245"/>
      <c r="D95" s="245" t="s">
        <v>151</v>
      </c>
      <c r="E95" s="245" t="s">
        <v>152</v>
      </c>
      <c r="F95" s="253">
        <v>5000</v>
      </c>
      <c r="G95" s="254">
        <v>5000</v>
      </c>
      <c r="H95" s="253">
        <f t="shared" si="11"/>
        <v>0</v>
      </c>
      <c r="I95" s="256">
        <v>5000</v>
      </c>
      <c r="J95" s="258">
        <f t="shared" si="12"/>
        <v>0</v>
      </c>
      <c r="K95" s="255">
        <f t="shared" si="13"/>
        <v>0</v>
      </c>
    </row>
    <row r="96" spans="1:11" ht="15" hidden="1">
      <c r="A96" s="245"/>
      <c r="B96" s="245"/>
      <c r="C96" s="245">
        <v>3</v>
      </c>
      <c r="D96" s="245"/>
      <c r="E96" s="245"/>
      <c r="F96" s="253"/>
      <c r="G96" s="254"/>
      <c r="H96" s="253"/>
      <c r="I96" s="250"/>
      <c r="J96" s="245"/>
      <c r="K96" s="245"/>
    </row>
    <row r="97" spans="1:11" ht="19.5" customHeight="1" hidden="1">
      <c r="A97" s="245"/>
      <c r="B97" s="245"/>
      <c r="C97" s="245">
        <v>2</v>
      </c>
      <c r="D97" s="245"/>
      <c r="E97" s="245"/>
      <c r="F97" s="255"/>
      <c r="G97" s="260"/>
      <c r="H97" s="255"/>
      <c r="I97" s="250"/>
      <c r="J97" s="245"/>
      <c r="K97" s="245"/>
    </row>
    <row r="98" spans="1:11" ht="23.25" customHeight="1">
      <c r="A98" s="245"/>
      <c r="B98" s="246" t="s">
        <v>153</v>
      </c>
      <c r="C98" s="246" t="s">
        <v>154</v>
      </c>
      <c r="D98" s="246"/>
      <c r="E98" s="246"/>
      <c r="F98" s="247">
        <f>SUBTOTAL(9,F99:F112)</f>
        <v>50800</v>
      </c>
      <c r="G98" s="248">
        <f>SUBTOTAL(9,G99:G112)</f>
        <v>96275</v>
      </c>
      <c r="H98" s="248">
        <f>+G98-F98</f>
        <v>45475</v>
      </c>
      <c r="I98" s="248">
        <f>SUBTOTAL(9,I99:I112)</f>
        <v>96275</v>
      </c>
      <c r="J98" s="247">
        <f>+I98-F98</f>
        <v>45475</v>
      </c>
      <c r="K98" s="247">
        <f>+I98-G98</f>
        <v>0</v>
      </c>
    </row>
    <row r="99" spans="1:11" ht="30" customHeight="1" hidden="1">
      <c r="A99" s="245"/>
      <c r="B99" s="246"/>
      <c r="C99" s="246"/>
      <c r="D99" s="246"/>
      <c r="E99" s="246"/>
      <c r="F99" s="247"/>
      <c r="G99" s="244"/>
      <c r="H99" s="247"/>
      <c r="I99" s="244"/>
      <c r="J99" s="247"/>
      <c r="K99" s="247"/>
    </row>
    <row r="100" spans="1:11" ht="15">
      <c r="A100" s="245"/>
      <c r="B100" s="245"/>
      <c r="C100" s="251" t="s">
        <v>2</v>
      </c>
      <c r="D100" s="251" t="s">
        <v>119</v>
      </c>
      <c r="E100" s="251"/>
      <c r="F100" s="252">
        <f>SUBTOTAL(9,F101:F103)</f>
        <v>800</v>
      </c>
      <c r="G100" s="244">
        <f>SUBTOTAL(9,G101:G103)</f>
        <v>800</v>
      </c>
      <c r="H100" s="252">
        <f>+G100-F100</f>
        <v>0</v>
      </c>
      <c r="I100" s="244">
        <f>SUBTOTAL(9,I101:I103)</f>
        <v>800</v>
      </c>
      <c r="J100" s="252">
        <f>+I100-H100</f>
        <v>800</v>
      </c>
      <c r="K100" s="252">
        <f>+J100-I100</f>
        <v>0</v>
      </c>
    </row>
    <row r="101" spans="1:11" ht="15" hidden="1">
      <c r="A101" s="245"/>
      <c r="B101" s="245"/>
      <c r="C101" s="245"/>
      <c r="D101" s="245"/>
      <c r="E101" s="245"/>
      <c r="F101" s="253"/>
      <c r="G101" s="254"/>
      <c r="H101" s="253"/>
      <c r="I101" s="250"/>
      <c r="J101" s="245"/>
      <c r="K101" s="245"/>
    </row>
    <row r="102" spans="1:11" ht="15">
      <c r="A102" s="245"/>
      <c r="B102" s="245"/>
      <c r="C102" s="245"/>
      <c r="D102" s="245" t="s">
        <v>151</v>
      </c>
      <c r="E102" s="245" t="s">
        <v>152</v>
      </c>
      <c r="F102" s="253">
        <v>800</v>
      </c>
      <c r="G102" s="254">
        <v>800</v>
      </c>
      <c r="H102" s="253">
        <f>+G102-F102</f>
        <v>0</v>
      </c>
      <c r="I102" s="256">
        <v>800</v>
      </c>
      <c r="J102" s="255">
        <f>+I102-F102</f>
        <v>0</v>
      </c>
      <c r="K102" s="255">
        <f>+I102-G102</f>
        <v>0</v>
      </c>
    </row>
    <row r="103" spans="1:11" ht="15" hidden="1">
      <c r="A103" s="245"/>
      <c r="B103" s="245"/>
      <c r="C103" s="245">
        <v>3</v>
      </c>
      <c r="D103" s="245"/>
      <c r="E103" s="245"/>
      <c r="F103" s="253"/>
      <c r="G103" s="254"/>
      <c r="H103" s="253"/>
      <c r="I103" s="250"/>
      <c r="J103" s="245"/>
      <c r="K103" s="245"/>
    </row>
    <row r="104" spans="1:11" ht="15">
      <c r="A104" s="245"/>
      <c r="B104" s="245"/>
      <c r="C104" s="251" t="s">
        <v>155</v>
      </c>
      <c r="D104" s="251" t="s">
        <v>156</v>
      </c>
      <c r="E104" s="251"/>
      <c r="F104" s="252">
        <f>SUBTOTAL(9,F105:F111)</f>
        <v>50000</v>
      </c>
      <c r="G104" s="244">
        <f>SUBTOTAL(9,G105:G111)</f>
        <v>95475</v>
      </c>
      <c r="H104" s="252">
        <f aca="true" t="shared" si="14" ref="H104:H110">+G104-F104</f>
        <v>45475</v>
      </c>
      <c r="I104" s="244">
        <f>SUBTOTAL(9,I105:I111)</f>
        <v>95475</v>
      </c>
      <c r="J104" s="252">
        <f>+F104-I104</f>
        <v>-45475</v>
      </c>
      <c r="K104" s="252">
        <f>+I104-G104</f>
        <v>0</v>
      </c>
    </row>
    <row r="105" spans="1:11" ht="15" hidden="1">
      <c r="A105" s="245"/>
      <c r="B105" s="245"/>
      <c r="C105" s="245"/>
      <c r="D105" s="245"/>
      <c r="E105" s="245"/>
      <c r="F105" s="253"/>
      <c r="G105" s="254"/>
      <c r="H105" s="252">
        <f t="shared" si="14"/>
        <v>0</v>
      </c>
      <c r="I105" s="244">
        <f>+H105-G105</f>
        <v>0</v>
      </c>
      <c r="J105" s="252">
        <f>+I105-H105</f>
        <v>0</v>
      </c>
      <c r="K105" s="245"/>
    </row>
    <row r="106" spans="1:11" ht="15">
      <c r="A106" s="245"/>
      <c r="B106" s="245"/>
      <c r="C106" s="245"/>
      <c r="D106" s="245" t="s">
        <v>17</v>
      </c>
      <c r="E106" s="245" t="s">
        <v>95</v>
      </c>
      <c r="F106" s="253">
        <v>5000</v>
      </c>
      <c r="G106" s="254">
        <v>14250</v>
      </c>
      <c r="H106" s="255">
        <f t="shared" si="14"/>
        <v>9250</v>
      </c>
      <c r="I106" s="266">
        <v>14250</v>
      </c>
      <c r="J106" s="255">
        <f>+I106-F106</f>
        <v>9250</v>
      </c>
      <c r="K106" s="255">
        <f>+I106-G106</f>
        <v>0</v>
      </c>
    </row>
    <row r="107" spans="1:11" ht="15">
      <c r="A107" s="245"/>
      <c r="B107" s="245"/>
      <c r="C107" s="245"/>
      <c r="D107" s="245" t="s">
        <v>26</v>
      </c>
      <c r="E107" s="245" t="s">
        <v>98</v>
      </c>
      <c r="F107" s="253">
        <v>5000</v>
      </c>
      <c r="G107" s="254">
        <v>0</v>
      </c>
      <c r="H107" s="255">
        <f t="shared" si="14"/>
        <v>-5000</v>
      </c>
      <c r="I107" s="256">
        <v>0</v>
      </c>
      <c r="J107" s="255">
        <f>+I107-F107</f>
        <v>-5000</v>
      </c>
      <c r="K107" s="255">
        <f aca="true" t="shared" si="15" ref="K107:K112">+I107-G107</f>
        <v>0</v>
      </c>
    </row>
    <row r="108" spans="1:11" ht="15">
      <c r="A108" s="245"/>
      <c r="B108" s="245"/>
      <c r="C108" s="245"/>
      <c r="D108" s="245" t="s">
        <v>30</v>
      </c>
      <c r="E108" s="245" t="s">
        <v>81</v>
      </c>
      <c r="F108" s="253">
        <v>10000</v>
      </c>
      <c r="G108" s="254">
        <v>0</v>
      </c>
      <c r="H108" s="255">
        <f t="shared" si="14"/>
        <v>-10000</v>
      </c>
      <c r="I108" s="256">
        <v>0</v>
      </c>
      <c r="J108" s="255">
        <f>+I108-F108</f>
        <v>-10000</v>
      </c>
      <c r="K108" s="255">
        <f t="shared" si="15"/>
        <v>0</v>
      </c>
    </row>
    <row r="109" spans="1:11" ht="15">
      <c r="A109" s="245"/>
      <c r="B109" s="245"/>
      <c r="C109" s="245"/>
      <c r="D109" s="245" t="s">
        <v>32</v>
      </c>
      <c r="E109" s="245" t="s">
        <v>56</v>
      </c>
      <c r="F109" s="253">
        <v>25000</v>
      </c>
      <c r="G109" s="254">
        <f>1900+19000+28500+3325+28500</f>
        <v>81225</v>
      </c>
      <c r="H109" s="255">
        <f t="shared" si="14"/>
        <v>56225</v>
      </c>
      <c r="I109" s="256">
        <v>81225</v>
      </c>
      <c r="J109" s="255">
        <f>+I109-F109</f>
        <v>56225</v>
      </c>
      <c r="K109" s="255">
        <f t="shared" si="15"/>
        <v>0</v>
      </c>
    </row>
    <row r="110" spans="1:11" ht="15">
      <c r="A110" s="245"/>
      <c r="B110" s="245"/>
      <c r="C110" s="245"/>
      <c r="D110" s="245" t="s">
        <v>38</v>
      </c>
      <c r="E110" s="245" t="s">
        <v>68</v>
      </c>
      <c r="F110" s="253">
        <v>5000</v>
      </c>
      <c r="G110" s="254">
        <v>0</v>
      </c>
      <c r="H110" s="255">
        <f t="shared" si="14"/>
        <v>-5000</v>
      </c>
      <c r="I110" s="256">
        <v>0</v>
      </c>
      <c r="J110" s="255">
        <f>+I110-F110</f>
        <v>-5000</v>
      </c>
      <c r="K110" s="255">
        <f t="shared" si="15"/>
        <v>0</v>
      </c>
    </row>
    <row r="111" spans="1:11" ht="15" hidden="1">
      <c r="A111" s="245"/>
      <c r="B111" s="245"/>
      <c r="C111" s="245">
        <v>3</v>
      </c>
      <c r="D111" s="245"/>
      <c r="E111" s="245"/>
      <c r="F111" s="253"/>
      <c r="G111" s="254"/>
      <c r="H111" s="253"/>
      <c r="I111" s="250"/>
      <c r="J111" s="245"/>
      <c r="K111" s="255">
        <f t="shared" si="15"/>
        <v>0</v>
      </c>
    </row>
    <row r="112" spans="1:11" ht="19.5" customHeight="1" hidden="1">
      <c r="A112" s="245"/>
      <c r="B112" s="245"/>
      <c r="C112" s="245">
        <v>2</v>
      </c>
      <c r="D112" s="245"/>
      <c r="E112" s="245"/>
      <c r="F112" s="255"/>
      <c r="G112" s="260"/>
      <c r="H112" s="255"/>
      <c r="I112" s="250"/>
      <c r="J112" s="245"/>
      <c r="K112" s="255">
        <f t="shared" si="15"/>
        <v>0</v>
      </c>
    </row>
    <row r="113" spans="1:11" ht="23.25" customHeight="1">
      <c r="A113" s="245"/>
      <c r="B113" s="246" t="s">
        <v>157</v>
      </c>
      <c r="C113" s="246" t="s">
        <v>158</v>
      </c>
      <c r="D113" s="246"/>
      <c r="E113" s="246"/>
      <c r="F113" s="248">
        <f>SUBTOTAL(9,F114:F128)</f>
        <v>39793747</v>
      </c>
      <c r="G113" s="248">
        <f>SUBTOTAL(9,G114:G128)</f>
        <v>39793747</v>
      </c>
      <c r="H113" s="248">
        <f>SUBTOTAL(9,H114:H128)</f>
        <v>0</v>
      </c>
      <c r="I113" s="248">
        <f>SUBTOTAL(9,I114:I128)</f>
        <v>39793747</v>
      </c>
      <c r="J113" s="247">
        <f>+I113-F113</f>
        <v>0</v>
      </c>
      <c r="K113" s="247">
        <f>+I113-G113</f>
        <v>0</v>
      </c>
    </row>
    <row r="114" spans="1:11" ht="30" customHeight="1" hidden="1">
      <c r="A114" s="245"/>
      <c r="B114" s="246"/>
      <c r="C114" s="246"/>
      <c r="D114" s="246"/>
      <c r="E114" s="246"/>
      <c r="F114" s="247"/>
      <c r="G114" s="244"/>
      <c r="H114" s="247"/>
      <c r="I114" s="244"/>
      <c r="J114" s="247"/>
      <c r="K114" s="247"/>
    </row>
    <row r="115" spans="1:11" ht="15">
      <c r="A115" s="245"/>
      <c r="B115" s="245"/>
      <c r="C115" s="251" t="s">
        <v>159</v>
      </c>
      <c r="D115" s="251" t="s">
        <v>160</v>
      </c>
      <c r="E115" s="251"/>
      <c r="F115" s="252">
        <f>SUBTOTAL(9,F116:F128)</f>
        <v>39793747</v>
      </c>
      <c r="G115" s="244">
        <f>SUBTOTAL(9,G116:G128)</f>
        <v>39793747</v>
      </c>
      <c r="H115" s="252">
        <f>SUBTOTAL(9,H116:H128)</f>
        <v>0</v>
      </c>
      <c r="I115" s="261">
        <f>SUBTOTAL(9,I116:I128)</f>
        <v>39793747</v>
      </c>
      <c r="J115" s="262">
        <f>SUBTOTAL(9,J116:J128)</f>
        <v>0</v>
      </c>
      <c r="K115" s="262">
        <f>+I115-G115</f>
        <v>0</v>
      </c>
    </row>
    <row r="116" spans="1:12" ht="15">
      <c r="A116" s="245"/>
      <c r="B116" s="245"/>
      <c r="C116" s="245"/>
      <c r="D116" s="257" t="s">
        <v>17</v>
      </c>
      <c r="E116" s="245" t="s">
        <v>95</v>
      </c>
      <c r="F116" s="253">
        <v>17500</v>
      </c>
      <c r="G116" s="254">
        <v>17500</v>
      </c>
      <c r="H116" s="253">
        <f>+G116-F116</f>
        <v>0</v>
      </c>
      <c r="I116" s="256">
        <v>17500</v>
      </c>
      <c r="J116" s="258">
        <f>+I116-F116</f>
        <v>0</v>
      </c>
      <c r="K116" s="255">
        <f>+I116-G116</f>
        <v>0</v>
      </c>
      <c r="L116" s="209"/>
    </row>
    <row r="117" spans="1:12" ht="15">
      <c r="A117" s="245"/>
      <c r="B117" s="245"/>
      <c r="C117" s="245"/>
      <c r="D117" s="257">
        <v>3224</v>
      </c>
      <c r="E117" s="245" t="s">
        <v>212</v>
      </c>
      <c r="F117" s="253">
        <v>0</v>
      </c>
      <c r="G117" s="254">
        <v>302000</v>
      </c>
      <c r="H117" s="253">
        <f aca="true" t="shared" si="16" ref="H117:H128">+G117-F117</f>
        <v>302000</v>
      </c>
      <c r="I117" s="256">
        <v>354000</v>
      </c>
      <c r="J117" s="258">
        <f aca="true" t="shared" si="17" ref="J117:J128">+I117-F117</f>
        <v>354000</v>
      </c>
      <c r="K117" s="255">
        <f aca="true" t="shared" si="18" ref="K117:K128">+I117-G117</f>
        <v>52000</v>
      </c>
      <c r="L117" s="209"/>
    </row>
    <row r="118" spans="1:12" ht="15">
      <c r="A118" s="245"/>
      <c r="B118" s="245"/>
      <c r="C118" s="245"/>
      <c r="D118" s="257" t="s">
        <v>21</v>
      </c>
      <c r="E118" s="245" t="s">
        <v>78</v>
      </c>
      <c r="F118" s="253">
        <v>25000</v>
      </c>
      <c r="G118" s="254">
        <v>25000</v>
      </c>
      <c r="H118" s="253">
        <f t="shared" si="16"/>
        <v>0</v>
      </c>
      <c r="I118" s="256">
        <v>25000</v>
      </c>
      <c r="J118" s="258">
        <f t="shared" si="17"/>
        <v>0</v>
      </c>
      <c r="K118" s="255">
        <f t="shared" si="18"/>
        <v>0</v>
      </c>
      <c r="L118" s="209"/>
    </row>
    <row r="119" spans="1:12" ht="15">
      <c r="A119" s="245"/>
      <c r="B119" s="245"/>
      <c r="C119" s="245"/>
      <c r="D119" s="257" t="s">
        <v>24</v>
      </c>
      <c r="E119" s="245" t="s">
        <v>100</v>
      </c>
      <c r="F119" s="253">
        <v>50000</v>
      </c>
      <c r="G119" s="254">
        <f>100000+600000</f>
        <v>700000</v>
      </c>
      <c r="H119" s="253">
        <f t="shared" si="16"/>
        <v>650000</v>
      </c>
      <c r="I119" s="256">
        <v>700000</v>
      </c>
      <c r="J119" s="258">
        <f t="shared" si="17"/>
        <v>650000</v>
      </c>
      <c r="K119" s="255">
        <f t="shared" si="18"/>
        <v>0</v>
      </c>
      <c r="L119" s="209"/>
    </row>
    <row r="120" spans="1:12" ht="15">
      <c r="A120" s="245"/>
      <c r="B120" s="245"/>
      <c r="C120" s="245"/>
      <c r="D120" s="257" t="s">
        <v>25</v>
      </c>
      <c r="E120" s="245" t="s">
        <v>104</v>
      </c>
      <c r="F120" s="253">
        <v>257500</v>
      </c>
      <c r="G120" s="254">
        <f>515000+202000</f>
        <v>717000</v>
      </c>
      <c r="H120" s="253">
        <f t="shared" si="16"/>
        <v>459500</v>
      </c>
      <c r="I120" s="256">
        <v>717000</v>
      </c>
      <c r="J120" s="258">
        <f t="shared" si="17"/>
        <v>459500</v>
      </c>
      <c r="K120" s="255">
        <f t="shared" si="18"/>
        <v>0</v>
      </c>
      <c r="L120" s="209"/>
    </row>
    <row r="121" spans="1:12" ht="15">
      <c r="A121" s="245"/>
      <c r="B121" s="245"/>
      <c r="C121" s="245"/>
      <c r="D121" s="257">
        <v>3235</v>
      </c>
      <c r="E121" s="245" t="s">
        <v>214</v>
      </c>
      <c r="F121" s="253">
        <v>0</v>
      </c>
      <c r="G121" s="254">
        <v>0</v>
      </c>
      <c r="H121" s="253">
        <f t="shared" si="16"/>
        <v>0</v>
      </c>
      <c r="I121" s="256">
        <v>0</v>
      </c>
      <c r="J121" s="258">
        <f t="shared" si="17"/>
        <v>0</v>
      </c>
      <c r="K121" s="255">
        <f t="shared" si="18"/>
        <v>0</v>
      </c>
      <c r="L121" s="209"/>
    </row>
    <row r="122" spans="1:12" ht="15">
      <c r="A122" s="245"/>
      <c r="B122" s="245"/>
      <c r="C122" s="245"/>
      <c r="D122" s="257" t="s">
        <v>30</v>
      </c>
      <c r="E122" s="245" t="s">
        <v>81</v>
      </c>
      <c r="F122" s="253">
        <v>1172997</v>
      </c>
      <c r="G122" s="254">
        <v>1172997</v>
      </c>
      <c r="H122" s="253">
        <f t="shared" si="16"/>
        <v>0</v>
      </c>
      <c r="I122" s="256">
        <v>1172997</v>
      </c>
      <c r="J122" s="258">
        <f t="shared" si="17"/>
        <v>0</v>
      </c>
      <c r="K122" s="255">
        <f t="shared" si="18"/>
        <v>0</v>
      </c>
      <c r="L122" s="209"/>
    </row>
    <row r="123" spans="1:12" ht="15">
      <c r="A123" s="245"/>
      <c r="B123" s="245"/>
      <c r="C123" s="245"/>
      <c r="D123" s="257" t="s">
        <v>32</v>
      </c>
      <c r="E123" s="245" t="s">
        <v>56</v>
      </c>
      <c r="F123" s="253">
        <v>0</v>
      </c>
      <c r="G123" s="254">
        <v>0</v>
      </c>
      <c r="H123" s="253">
        <f t="shared" si="16"/>
        <v>0</v>
      </c>
      <c r="I123" s="256">
        <v>0</v>
      </c>
      <c r="J123" s="258">
        <f t="shared" si="17"/>
        <v>0</v>
      </c>
      <c r="K123" s="255">
        <f t="shared" si="18"/>
        <v>0</v>
      </c>
      <c r="L123" s="209"/>
    </row>
    <row r="124" spans="1:12" ht="15">
      <c r="A124" s="245"/>
      <c r="B124" s="245"/>
      <c r="C124" s="245"/>
      <c r="D124" s="257" t="s">
        <v>142</v>
      </c>
      <c r="E124" s="245" t="s">
        <v>143</v>
      </c>
      <c r="F124" s="253">
        <v>23125000</v>
      </c>
      <c r="G124" s="254">
        <v>21825000</v>
      </c>
      <c r="H124" s="253">
        <f t="shared" si="16"/>
        <v>-1300000</v>
      </c>
      <c r="I124" s="256">
        <v>21787076.25</v>
      </c>
      <c r="J124" s="259">
        <f t="shared" si="17"/>
        <v>-1337923.75</v>
      </c>
      <c r="K124" s="255">
        <f t="shared" si="18"/>
        <v>-37923.75</v>
      </c>
      <c r="L124" s="209"/>
    </row>
    <row r="125" spans="1:12" ht="15">
      <c r="A125" s="245"/>
      <c r="B125" s="245"/>
      <c r="C125" s="245"/>
      <c r="D125" s="257" t="s">
        <v>144</v>
      </c>
      <c r="E125" s="245" t="s">
        <v>145</v>
      </c>
      <c r="F125" s="253">
        <v>212500</v>
      </c>
      <c r="G125" s="254">
        <v>662000</v>
      </c>
      <c r="H125" s="253">
        <f t="shared" si="16"/>
        <v>449500</v>
      </c>
      <c r="I125" s="256">
        <v>662000</v>
      </c>
      <c r="J125" s="258">
        <f t="shared" si="17"/>
        <v>449500</v>
      </c>
      <c r="K125" s="255">
        <f t="shared" si="18"/>
        <v>0</v>
      </c>
      <c r="L125" s="209"/>
    </row>
    <row r="126" spans="1:12" ht="15">
      <c r="A126" s="245"/>
      <c r="B126" s="245"/>
      <c r="C126" s="245"/>
      <c r="D126" s="212" t="s">
        <v>222</v>
      </c>
      <c r="E126" s="212" t="s">
        <v>223</v>
      </c>
      <c r="F126" s="253">
        <v>0</v>
      </c>
      <c r="G126" s="254">
        <v>0</v>
      </c>
      <c r="H126" s="253">
        <f t="shared" si="16"/>
        <v>0</v>
      </c>
      <c r="I126" s="256">
        <v>37923.75</v>
      </c>
      <c r="J126" s="258">
        <f t="shared" si="17"/>
        <v>37923.75</v>
      </c>
      <c r="K126" s="255">
        <f t="shared" si="18"/>
        <v>37923.75</v>
      </c>
      <c r="L126" s="209"/>
    </row>
    <row r="127" spans="1:12" ht="15">
      <c r="A127" s="245"/>
      <c r="B127" s="245"/>
      <c r="C127" s="245"/>
      <c r="D127" s="257">
        <v>4227</v>
      </c>
      <c r="E127" s="245" t="s">
        <v>215</v>
      </c>
      <c r="F127" s="253">
        <v>0</v>
      </c>
      <c r="G127" s="254">
        <v>100000</v>
      </c>
      <c r="H127" s="253">
        <f t="shared" si="16"/>
        <v>100000</v>
      </c>
      <c r="I127" s="256">
        <v>100000</v>
      </c>
      <c r="J127" s="258">
        <f t="shared" si="17"/>
        <v>100000</v>
      </c>
      <c r="K127" s="255">
        <f t="shared" si="18"/>
        <v>0</v>
      </c>
      <c r="L127" s="209"/>
    </row>
    <row r="128" spans="1:11" ht="15">
      <c r="A128" s="245"/>
      <c r="B128" s="245"/>
      <c r="C128" s="245"/>
      <c r="D128" s="257" t="s">
        <v>161</v>
      </c>
      <c r="E128" s="245" t="s">
        <v>162</v>
      </c>
      <c r="F128" s="253">
        <v>14933250</v>
      </c>
      <c r="G128" s="254">
        <v>14272250</v>
      </c>
      <c r="H128" s="253">
        <f t="shared" si="16"/>
        <v>-661000</v>
      </c>
      <c r="I128" s="256">
        <v>14220250</v>
      </c>
      <c r="J128" s="259">
        <f t="shared" si="17"/>
        <v>-713000</v>
      </c>
      <c r="K128" s="255">
        <f t="shared" si="18"/>
        <v>-52000</v>
      </c>
    </row>
    <row r="129" spans="1:11" ht="27.75" customHeight="1">
      <c r="A129" s="263" t="s">
        <v>55</v>
      </c>
      <c r="B129" s="263"/>
      <c r="C129" s="263"/>
      <c r="D129" s="263"/>
      <c r="E129" s="263"/>
      <c r="F129" s="264">
        <f>SUBTOTAL(9,F14:F128)</f>
        <v>47734410.81</v>
      </c>
      <c r="G129" s="264">
        <f>SUBTOTAL(9,G14:G128)</f>
        <v>49227156.76</v>
      </c>
      <c r="H129" s="264">
        <f>+G129-F129</f>
        <v>1492745.9499999955</v>
      </c>
      <c r="I129" s="264">
        <f>SUBTOTAL(9,I14:I128)</f>
        <v>50541879.620000005</v>
      </c>
      <c r="J129" s="264">
        <f>+I129-F129</f>
        <v>2807468.8100000024</v>
      </c>
      <c r="K129" s="264">
        <f>+I129-G129</f>
        <v>1314722.8600000069</v>
      </c>
    </row>
    <row r="131" spans="10:11" ht="15">
      <c r="J131" s="249"/>
      <c r="K131" s="249"/>
    </row>
    <row r="132" spans="6:11" ht="15">
      <c r="F132" s="265"/>
      <c r="G132" s="265"/>
      <c r="H132" s="265"/>
      <c r="I132" s="265"/>
      <c r="J132" s="265"/>
      <c r="K132" s="265"/>
    </row>
  </sheetData>
  <sheetProtection/>
  <mergeCells count="1"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64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9.140625" style="209" customWidth="1"/>
    <col min="2" max="4" width="14.28125" style="209" customWidth="1"/>
    <col min="5" max="5" width="63.00390625" style="209" bestFit="1" customWidth="1"/>
    <col min="6" max="6" width="18.57421875" style="209" customWidth="1"/>
    <col min="7" max="7" width="26.8515625" style="209" customWidth="1"/>
    <col min="8" max="8" width="19.28125" style="209" customWidth="1"/>
    <col min="9" max="9" width="20.7109375" style="209" customWidth="1"/>
    <col min="10" max="11" width="18.00390625" style="209" customWidth="1"/>
    <col min="12" max="12" width="12.140625" style="209" customWidth="1"/>
    <col min="13" max="16384" width="9.140625" style="209" customWidth="1"/>
  </cols>
  <sheetData>
    <row r="4" spans="1:11" ht="15">
      <c r="A4" s="272" t="s">
        <v>232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</row>
    <row r="5" ht="15">
      <c r="A5" s="225"/>
    </row>
    <row r="6" spans="1:11" ht="75">
      <c r="A6" s="210" t="s">
        <v>52</v>
      </c>
      <c r="B6" s="210" t="s">
        <v>229</v>
      </c>
      <c r="C6" s="210" t="s">
        <v>49</v>
      </c>
      <c r="D6" s="210" t="s">
        <v>61</v>
      </c>
      <c r="E6" s="210" t="str">
        <f>CONCATENATE("Naziv"," ",D6)</f>
        <v>Naziv Konto 4. razina</v>
      </c>
      <c r="F6" s="226" t="s">
        <v>164</v>
      </c>
      <c r="G6" s="226" t="s">
        <v>220</v>
      </c>
      <c r="H6" s="226" t="s">
        <v>211</v>
      </c>
      <c r="I6" s="226" t="s">
        <v>221</v>
      </c>
      <c r="J6" s="227" t="s">
        <v>224</v>
      </c>
      <c r="K6" s="227" t="s">
        <v>225</v>
      </c>
    </row>
    <row r="7" spans="1:11" ht="15">
      <c r="A7" s="228">
        <v>1</v>
      </c>
      <c r="B7" s="228">
        <v>2</v>
      </c>
      <c r="C7" s="228">
        <v>3</v>
      </c>
      <c r="D7" s="228">
        <v>4</v>
      </c>
      <c r="E7" s="228">
        <v>6</v>
      </c>
      <c r="F7" s="229">
        <v>6</v>
      </c>
      <c r="G7" s="229">
        <v>6</v>
      </c>
      <c r="H7" s="226" t="s">
        <v>227</v>
      </c>
      <c r="I7" s="226">
        <v>9</v>
      </c>
      <c r="J7" s="226" t="s">
        <v>226</v>
      </c>
      <c r="K7" s="226" t="s">
        <v>228</v>
      </c>
    </row>
    <row r="8" spans="1:12" ht="15">
      <c r="A8" s="230" t="s">
        <v>6</v>
      </c>
      <c r="B8" s="230" t="s">
        <v>77</v>
      </c>
      <c r="C8" s="231"/>
      <c r="D8" s="231"/>
      <c r="E8" s="231"/>
      <c r="F8" s="232">
        <f aca="true" t="shared" si="0" ref="F8:K8">SUBTOTAL(9,F9:F57)</f>
        <v>47734410.81</v>
      </c>
      <c r="G8" s="232">
        <f t="shared" si="0"/>
        <v>49227156.76</v>
      </c>
      <c r="H8" s="232">
        <f t="shared" si="0"/>
        <v>1492745.9500000007</v>
      </c>
      <c r="I8" s="232">
        <f t="shared" si="0"/>
        <v>50541879.620000005</v>
      </c>
      <c r="J8" s="232">
        <f t="shared" si="0"/>
        <v>2807468.81</v>
      </c>
      <c r="K8" s="232">
        <f t="shared" si="0"/>
        <v>1314722.8599999996</v>
      </c>
      <c r="L8" s="211"/>
    </row>
    <row r="9" spans="1:11" ht="15">
      <c r="A9" s="216"/>
      <c r="B9" s="217"/>
      <c r="C9" s="217"/>
      <c r="D9" s="217"/>
      <c r="E9" s="217"/>
      <c r="F9" s="218"/>
      <c r="G9" s="218"/>
      <c r="H9" s="212"/>
      <c r="I9" s="212"/>
      <c r="J9" s="212"/>
      <c r="K9" s="212"/>
    </row>
    <row r="10" spans="1:11" ht="15">
      <c r="A10" s="212"/>
      <c r="B10" s="213" t="s">
        <v>53</v>
      </c>
      <c r="C10" s="213" t="s">
        <v>87</v>
      </c>
      <c r="D10" s="213"/>
      <c r="E10" s="214"/>
      <c r="F10" s="215">
        <f aca="true" t="shared" si="1" ref="F10:K10">SUBTOTAL(9,F11:F16)</f>
        <v>6074155.81</v>
      </c>
      <c r="G10" s="215">
        <f t="shared" si="1"/>
        <v>7331277.24</v>
      </c>
      <c r="H10" s="215">
        <f t="shared" si="1"/>
        <v>1257121.4300000006</v>
      </c>
      <c r="I10" s="215">
        <f t="shared" si="1"/>
        <v>7845871.8</v>
      </c>
      <c r="J10" s="215">
        <f t="shared" si="1"/>
        <v>1771715.9900000002</v>
      </c>
      <c r="K10" s="215">
        <f t="shared" si="1"/>
        <v>514594.5599999996</v>
      </c>
    </row>
    <row r="11" spans="1:11" ht="15">
      <c r="A11" s="216"/>
      <c r="B11" s="216"/>
      <c r="C11" s="217"/>
      <c r="D11" s="217"/>
      <c r="E11" s="217"/>
      <c r="F11" s="218"/>
      <c r="G11" s="218"/>
      <c r="H11" s="212"/>
      <c r="I11" s="212"/>
      <c r="J11" s="212"/>
      <c r="K11" s="212"/>
    </row>
    <row r="12" spans="1:11" ht="15">
      <c r="A12" s="212"/>
      <c r="B12" s="217"/>
      <c r="C12" s="216" t="s">
        <v>1</v>
      </c>
      <c r="D12" s="216" t="s">
        <v>76</v>
      </c>
      <c r="E12" s="216"/>
      <c r="F12" s="233">
        <f aca="true" t="shared" si="2" ref="F12:K12">SUBTOTAL(9,F13:F15)</f>
        <v>6074155.81</v>
      </c>
      <c r="G12" s="233">
        <f t="shared" si="2"/>
        <v>7331277.24</v>
      </c>
      <c r="H12" s="233">
        <f t="shared" si="2"/>
        <v>1257121.4300000006</v>
      </c>
      <c r="I12" s="233">
        <f t="shared" si="2"/>
        <v>7845871.8</v>
      </c>
      <c r="J12" s="233">
        <f t="shared" si="2"/>
        <v>1771715.9900000002</v>
      </c>
      <c r="K12" s="233">
        <f t="shared" si="2"/>
        <v>514594.5599999996</v>
      </c>
    </row>
    <row r="13" spans="1:11" ht="15">
      <c r="A13" s="212"/>
      <c r="B13" s="217"/>
      <c r="C13" s="216"/>
      <c r="D13" s="216"/>
      <c r="E13" s="216"/>
      <c r="F13" s="233"/>
      <c r="G13" s="233"/>
      <c r="H13" s="212"/>
      <c r="I13" s="212"/>
      <c r="J13" s="212"/>
      <c r="K13" s="212"/>
    </row>
    <row r="14" spans="1:11" ht="15">
      <c r="A14" s="212"/>
      <c r="B14" s="217"/>
      <c r="C14" s="216"/>
      <c r="D14" s="217" t="s">
        <v>183</v>
      </c>
      <c r="E14" s="217" t="s">
        <v>184</v>
      </c>
      <c r="F14" s="218">
        <v>6074155.81</v>
      </c>
      <c r="G14" s="218">
        <v>7331277.24</v>
      </c>
      <c r="H14" s="218">
        <f>+G14-F14</f>
        <v>1257121.4300000006</v>
      </c>
      <c r="I14" s="234">
        <v>7845871.8</v>
      </c>
      <c r="J14" s="224">
        <f>+I14-F14</f>
        <v>1771715.9900000002</v>
      </c>
      <c r="K14" s="224">
        <f>+I14-G14</f>
        <v>514594.5599999996</v>
      </c>
    </row>
    <row r="15" spans="1:11" ht="15">
      <c r="A15" s="212"/>
      <c r="B15" s="217"/>
      <c r="C15" s="216"/>
      <c r="D15" s="216"/>
      <c r="E15" s="216"/>
      <c r="F15" s="233"/>
      <c r="G15" s="233"/>
      <c r="H15" s="212"/>
      <c r="I15" s="212"/>
      <c r="J15" s="212"/>
      <c r="K15" s="212"/>
    </row>
    <row r="16" spans="1:11" ht="15">
      <c r="A16" s="212"/>
      <c r="B16" s="212"/>
      <c r="C16" s="212"/>
      <c r="D16" s="212"/>
      <c r="E16" s="212"/>
      <c r="F16" s="219"/>
      <c r="G16" s="219"/>
      <c r="H16" s="212"/>
      <c r="I16" s="212"/>
      <c r="J16" s="212"/>
      <c r="K16" s="212"/>
    </row>
    <row r="17" spans="1:11" ht="15">
      <c r="A17" s="212"/>
      <c r="B17" s="213" t="s">
        <v>121</v>
      </c>
      <c r="C17" s="213" t="s">
        <v>139</v>
      </c>
      <c r="D17" s="213"/>
      <c r="E17" s="214"/>
      <c r="F17" s="215">
        <f aca="true" t="shared" si="3" ref="F17:K17">SUBTOTAL(9,F18:F24)</f>
        <v>1756500</v>
      </c>
      <c r="G17" s="215">
        <f t="shared" si="3"/>
        <v>1919937.52</v>
      </c>
      <c r="H17" s="215">
        <f t="shared" si="3"/>
        <v>163437.52000000002</v>
      </c>
      <c r="I17" s="215">
        <f t="shared" si="3"/>
        <v>2669937.52</v>
      </c>
      <c r="J17" s="215">
        <f t="shared" si="3"/>
        <v>913437.52</v>
      </c>
      <c r="K17" s="215">
        <f t="shared" si="3"/>
        <v>750000</v>
      </c>
    </row>
    <row r="18" spans="1:11" ht="15">
      <c r="A18" s="216"/>
      <c r="B18" s="216"/>
      <c r="C18" s="217"/>
      <c r="D18" s="217"/>
      <c r="E18" s="217"/>
      <c r="F18" s="218"/>
      <c r="G18" s="218"/>
      <c r="H18" s="212"/>
      <c r="I18" s="212"/>
      <c r="J18" s="212"/>
      <c r="K18" s="212"/>
    </row>
    <row r="19" spans="1:11" ht="15">
      <c r="A19" s="212"/>
      <c r="B19" s="217"/>
      <c r="C19" s="216" t="s">
        <v>1</v>
      </c>
      <c r="D19" s="216" t="s">
        <v>76</v>
      </c>
      <c r="E19" s="216"/>
      <c r="F19" s="233">
        <f aca="true" t="shared" si="4" ref="F19:K19">SUBTOTAL(9,F20:F23)</f>
        <v>1756500</v>
      </c>
      <c r="G19" s="233">
        <f t="shared" si="4"/>
        <v>1919937.52</v>
      </c>
      <c r="H19" s="233">
        <f t="shared" si="4"/>
        <v>163437.52000000002</v>
      </c>
      <c r="I19" s="233">
        <f t="shared" si="4"/>
        <v>2669937.52</v>
      </c>
      <c r="J19" s="233">
        <f t="shared" si="4"/>
        <v>913437.52</v>
      </c>
      <c r="K19" s="233">
        <f t="shared" si="4"/>
        <v>750000</v>
      </c>
    </row>
    <row r="20" spans="1:11" ht="15">
      <c r="A20" s="212"/>
      <c r="B20" s="217"/>
      <c r="C20" s="216"/>
      <c r="D20" s="216"/>
      <c r="E20" s="216"/>
      <c r="F20" s="233"/>
      <c r="G20" s="233"/>
      <c r="H20" s="212"/>
      <c r="I20" s="212"/>
      <c r="J20" s="212"/>
      <c r="K20" s="212"/>
    </row>
    <row r="21" spans="1:11" ht="15">
      <c r="A21" s="212"/>
      <c r="B21" s="217"/>
      <c r="C21" s="216"/>
      <c r="D21" s="217" t="s">
        <v>183</v>
      </c>
      <c r="E21" s="217" t="s">
        <v>184</v>
      </c>
      <c r="F21" s="218">
        <v>663105.52</v>
      </c>
      <c r="G21" s="218">
        <v>1510104.52</v>
      </c>
      <c r="H21" s="218">
        <f>+G21-F21</f>
        <v>846999</v>
      </c>
      <c r="I21" s="219">
        <v>1422604.52</v>
      </c>
      <c r="J21" s="224">
        <f>+I21-F21</f>
        <v>759499</v>
      </c>
      <c r="K21" s="224">
        <f>+I21-G21</f>
        <v>-87500</v>
      </c>
    </row>
    <row r="22" spans="1:11" ht="15">
      <c r="A22" s="212"/>
      <c r="B22" s="217"/>
      <c r="C22" s="216"/>
      <c r="D22" s="217" t="s">
        <v>185</v>
      </c>
      <c r="E22" s="217" t="s">
        <v>186</v>
      </c>
      <c r="F22" s="218">
        <v>1093394.48</v>
      </c>
      <c r="G22" s="218">
        <v>409833</v>
      </c>
      <c r="H22" s="218">
        <f>+G22-F22</f>
        <v>-683561.48</v>
      </c>
      <c r="I22" s="219">
        <v>1247333</v>
      </c>
      <c r="J22" s="224">
        <f>+I22-F22</f>
        <v>153938.52000000002</v>
      </c>
      <c r="K22" s="224">
        <f>+I22-G22</f>
        <v>837500</v>
      </c>
    </row>
    <row r="23" spans="1:11" ht="15">
      <c r="A23" s="212"/>
      <c r="B23" s="217"/>
      <c r="C23" s="216"/>
      <c r="D23" s="216"/>
      <c r="E23" s="216"/>
      <c r="F23" s="233"/>
      <c r="G23" s="233"/>
      <c r="H23" s="212"/>
      <c r="I23" s="212"/>
      <c r="J23" s="212"/>
      <c r="K23" s="212"/>
    </row>
    <row r="24" spans="1:11" ht="15">
      <c r="A24" s="212"/>
      <c r="B24" s="212"/>
      <c r="C24" s="212"/>
      <c r="D24" s="212"/>
      <c r="E24" s="212"/>
      <c r="F24" s="219"/>
      <c r="G24" s="219"/>
      <c r="H24" s="212"/>
      <c r="I24" s="212"/>
      <c r="J24" s="212"/>
      <c r="K24" s="212"/>
    </row>
    <row r="25" spans="1:11" ht="15">
      <c r="A25" s="212"/>
      <c r="B25" s="213" t="s">
        <v>146</v>
      </c>
      <c r="C25" s="213" t="s">
        <v>147</v>
      </c>
      <c r="D25" s="213"/>
      <c r="E25" s="214"/>
      <c r="F25" s="215">
        <f aca="true" t="shared" si="5" ref="F25:K25">SUBTOTAL(9,F26:F38)</f>
        <v>59208</v>
      </c>
      <c r="G25" s="215">
        <f t="shared" si="5"/>
        <v>85920</v>
      </c>
      <c r="H25" s="215">
        <f t="shared" si="5"/>
        <v>26712</v>
      </c>
      <c r="I25" s="215">
        <f t="shared" si="5"/>
        <v>136048.3</v>
      </c>
      <c r="J25" s="215">
        <f t="shared" si="5"/>
        <v>76840.3</v>
      </c>
      <c r="K25" s="215">
        <f t="shared" si="5"/>
        <v>50128.3</v>
      </c>
    </row>
    <row r="26" spans="1:11" ht="15">
      <c r="A26" s="216"/>
      <c r="B26" s="216"/>
      <c r="C26" s="217"/>
      <c r="D26" s="217"/>
      <c r="E26" s="217"/>
      <c r="F26" s="218"/>
      <c r="G26" s="218"/>
      <c r="H26" s="212"/>
      <c r="I26" s="212"/>
      <c r="J26" s="212"/>
      <c r="K26" s="212"/>
    </row>
    <row r="27" spans="1:11" ht="15">
      <c r="A27" s="212"/>
      <c r="B27" s="217"/>
      <c r="C27" s="216" t="s">
        <v>2</v>
      </c>
      <c r="D27" s="216" t="s">
        <v>119</v>
      </c>
      <c r="E27" s="216"/>
      <c r="F27" s="233">
        <f aca="true" t="shared" si="6" ref="F27:K27">SUBTOTAL(9,F28:F33)</f>
        <v>41208</v>
      </c>
      <c r="G27" s="233">
        <f t="shared" si="6"/>
        <v>67920</v>
      </c>
      <c r="H27" s="233">
        <f t="shared" si="6"/>
        <v>26712</v>
      </c>
      <c r="I27" s="233">
        <f t="shared" si="6"/>
        <v>118048.3</v>
      </c>
      <c r="J27" s="233">
        <f t="shared" si="6"/>
        <v>76840.3</v>
      </c>
      <c r="K27" s="233">
        <f t="shared" si="6"/>
        <v>50128.3</v>
      </c>
    </row>
    <row r="28" spans="1:11" ht="15">
      <c r="A28" s="212"/>
      <c r="B28" s="217"/>
      <c r="C28" s="216"/>
      <c r="D28" s="216"/>
      <c r="E28" s="216"/>
      <c r="F28" s="233"/>
      <c r="G28" s="233"/>
      <c r="H28" s="233"/>
      <c r="I28" s="212"/>
      <c r="J28" s="212"/>
      <c r="K28" s="212"/>
    </row>
    <row r="29" spans="1:11" ht="15">
      <c r="A29" s="212"/>
      <c r="B29" s="217"/>
      <c r="C29" s="216"/>
      <c r="D29" s="217" t="s">
        <v>187</v>
      </c>
      <c r="E29" s="217" t="s">
        <v>188</v>
      </c>
      <c r="F29" s="218">
        <v>3</v>
      </c>
      <c r="G29" s="218">
        <v>50</v>
      </c>
      <c r="H29" s="218">
        <f>+G29-F29</f>
        <v>47</v>
      </c>
      <c r="I29" s="219">
        <v>50</v>
      </c>
      <c r="J29" s="224">
        <f>+I29-F29</f>
        <v>47</v>
      </c>
      <c r="K29" s="224">
        <f>+I29-G29</f>
        <v>0</v>
      </c>
    </row>
    <row r="30" spans="1:11" ht="15">
      <c r="A30" s="212"/>
      <c r="B30" s="217"/>
      <c r="C30" s="216"/>
      <c r="D30" s="217" t="s">
        <v>189</v>
      </c>
      <c r="E30" s="217" t="s">
        <v>190</v>
      </c>
      <c r="F30" s="218">
        <v>2</v>
      </c>
      <c r="G30" s="218">
        <v>50</v>
      </c>
      <c r="H30" s="218">
        <f>+G30-F30</f>
        <v>48</v>
      </c>
      <c r="I30" s="219">
        <v>50</v>
      </c>
      <c r="J30" s="224">
        <f>+I30-F30</f>
        <v>48</v>
      </c>
      <c r="K30" s="224">
        <f>+I30-G30</f>
        <v>0</v>
      </c>
    </row>
    <row r="31" spans="1:11" ht="15">
      <c r="A31" s="212"/>
      <c r="B31" s="217"/>
      <c r="C31" s="216"/>
      <c r="D31" s="217" t="s">
        <v>191</v>
      </c>
      <c r="E31" s="217" t="s">
        <v>192</v>
      </c>
      <c r="F31" s="218">
        <v>11203</v>
      </c>
      <c r="G31" s="218">
        <v>11920</v>
      </c>
      <c r="H31" s="218">
        <f>+G31-F31</f>
        <v>717</v>
      </c>
      <c r="I31" s="219">
        <v>11920</v>
      </c>
      <c r="J31" s="224">
        <f>+I31-F31</f>
        <v>717</v>
      </c>
      <c r="K31" s="224">
        <f>+I31-G31</f>
        <v>0</v>
      </c>
    </row>
    <row r="32" spans="1:11" ht="15">
      <c r="A32" s="212"/>
      <c r="B32" s="217"/>
      <c r="C32" s="216"/>
      <c r="D32" s="217" t="s">
        <v>193</v>
      </c>
      <c r="E32" s="217" t="s">
        <v>194</v>
      </c>
      <c r="F32" s="218">
        <v>30000</v>
      </c>
      <c r="G32" s="218">
        <v>55900</v>
      </c>
      <c r="H32" s="218">
        <f>+G32-F32</f>
        <v>25900</v>
      </c>
      <c r="I32" s="219">
        <v>106028.3</v>
      </c>
      <c r="J32" s="224">
        <f>+I32-F32</f>
        <v>76028.3</v>
      </c>
      <c r="K32" s="224">
        <f>+I32-G32</f>
        <v>50128.3</v>
      </c>
    </row>
    <row r="33" spans="1:11" ht="15">
      <c r="A33" s="212"/>
      <c r="B33" s="217"/>
      <c r="C33" s="216"/>
      <c r="D33" s="216"/>
      <c r="E33" s="216"/>
      <c r="F33" s="233"/>
      <c r="G33" s="233"/>
      <c r="H33" s="233"/>
      <c r="I33" s="212"/>
      <c r="J33" s="212"/>
      <c r="K33" s="212"/>
    </row>
    <row r="34" spans="1:11" ht="15">
      <c r="A34" s="212"/>
      <c r="B34" s="217"/>
      <c r="C34" s="216" t="s">
        <v>148</v>
      </c>
      <c r="D34" s="216" t="s">
        <v>149</v>
      </c>
      <c r="E34" s="216"/>
      <c r="F34" s="233">
        <f aca="true" t="shared" si="7" ref="F34:K34">SUBTOTAL(9,F35:F37)</f>
        <v>18000</v>
      </c>
      <c r="G34" s="233">
        <f t="shared" si="7"/>
        <v>18000</v>
      </c>
      <c r="H34" s="233">
        <f t="shared" si="7"/>
        <v>0</v>
      </c>
      <c r="I34" s="233">
        <f t="shared" si="7"/>
        <v>18000</v>
      </c>
      <c r="J34" s="233">
        <f t="shared" si="7"/>
        <v>0</v>
      </c>
      <c r="K34" s="233">
        <f t="shared" si="7"/>
        <v>0</v>
      </c>
    </row>
    <row r="35" spans="1:11" ht="15">
      <c r="A35" s="212"/>
      <c r="B35" s="217"/>
      <c r="C35" s="216"/>
      <c r="D35" s="216"/>
      <c r="E35" s="216"/>
      <c r="F35" s="233"/>
      <c r="G35" s="233"/>
      <c r="H35" s="233"/>
      <c r="I35" s="212"/>
      <c r="J35" s="212"/>
      <c r="K35" s="212"/>
    </row>
    <row r="36" spans="1:11" ht="15">
      <c r="A36" s="212"/>
      <c r="B36" s="217"/>
      <c r="C36" s="216"/>
      <c r="D36" s="217" t="s">
        <v>195</v>
      </c>
      <c r="E36" s="217" t="s">
        <v>196</v>
      </c>
      <c r="F36" s="218">
        <v>18000</v>
      </c>
      <c r="G36" s="218">
        <v>18000</v>
      </c>
      <c r="H36" s="218">
        <f>+G36-F36</f>
        <v>0</v>
      </c>
      <c r="I36" s="235">
        <v>18000</v>
      </c>
      <c r="J36" s="224">
        <f>+I36-F36</f>
        <v>0</v>
      </c>
      <c r="K36" s="224">
        <f>+I36-G36</f>
        <v>0</v>
      </c>
    </row>
    <row r="37" spans="1:11" ht="15">
      <c r="A37" s="212"/>
      <c r="B37" s="217"/>
      <c r="C37" s="216"/>
      <c r="D37" s="216"/>
      <c r="E37" s="216"/>
      <c r="F37" s="233"/>
      <c r="G37" s="233"/>
      <c r="H37" s="233"/>
      <c r="I37" s="212"/>
      <c r="J37" s="212"/>
      <c r="K37" s="212"/>
    </row>
    <row r="38" spans="1:11" ht="15">
      <c r="A38" s="212"/>
      <c r="B38" s="212"/>
      <c r="C38" s="212"/>
      <c r="D38" s="212"/>
      <c r="E38" s="212"/>
      <c r="F38" s="219"/>
      <c r="G38" s="219"/>
      <c r="H38" s="219"/>
      <c r="I38" s="212"/>
      <c r="J38" s="212"/>
      <c r="K38" s="212"/>
    </row>
    <row r="39" spans="1:11" ht="15">
      <c r="A39" s="212"/>
      <c r="B39" s="213" t="s">
        <v>153</v>
      </c>
      <c r="C39" s="213" t="s">
        <v>154</v>
      </c>
      <c r="D39" s="213"/>
      <c r="E39" s="214"/>
      <c r="F39" s="215">
        <f aca="true" t="shared" si="8" ref="F39:K39">SUBTOTAL(9,F40:F49)</f>
        <v>50800</v>
      </c>
      <c r="G39" s="215">
        <f t="shared" si="8"/>
        <v>96275</v>
      </c>
      <c r="H39" s="215">
        <f t="shared" si="8"/>
        <v>45475</v>
      </c>
      <c r="I39" s="215">
        <f t="shared" si="8"/>
        <v>96275</v>
      </c>
      <c r="J39" s="215">
        <f t="shared" si="8"/>
        <v>45475</v>
      </c>
      <c r="K39" s="215">
        <f t="shared" si="8"/>
        <v>0</v>
      </c>
    </row>
    <row r="40" spans="1:11" ht="15">
      <c r="A40" s="216"/>
      <c r="B40" s="216"/>
      <c r="C40" s="217"/>
      <c r="D40" s="217"/>
      <c r="E40" s="217"/>
      <c r="F40" s="218"/>
      <c r="G40" s="218"/>
      <c r="H40" s="218"/>
      <c r="I40" s="212"/>
      <c r="J40" s="212"/>
      <c r="K40" s="212"/>
    </row>
    <row r="41" spans="1:11" ht="15">
      <c r="A41" s="212"/>
      <c r="B41" s="217"/>
      <c r="C41" s="216" t="s">
        <v>2</v>
      </c>
      <c r="D41" s="216" t="s">
        <v>119</v>
      </c>
      <c r="E41" s="216"/>
      <c r="F41" s="233">
        <f>SUBTOTAL(9,F42:F44)</f>
        <v>800</v>
      </c>
      <c r="G41" s="233">
        <f>SUBTOTAL(9,G42:G44)</f>
        <v>800</v>
      </c>
      <c r="H41" s="233">
        <f>SUBTOTAL(9,H42:H44)</f>
        <v>0</v>
      </c>
      <c r="I41" s="212"/>
      <c r="J41" s="212"/>
      <c r="K41" s="212"/>
    </row>
    <row r="42" spans="1:11" ht="15">
      <c r="A42" s="212"/>
      <c r="B42" s="217"/>
      <c r="C42" s="216"/>
      <c r="D42" s="216"/>
      <c r="E42" s="216"/>
      <c r="F42" s="233"/>
      <c r="G42" s="233"/>
      <c r="H42" s="233"/>
      <c r="I42" s="212"/>
      <c r="J42" s="212"/>
      <c r="K42" s="212"/>
    </row>
    <row r="43" spans="1:11" ht="15">
      <c r="A43" s="212"/>
      <c r="B43" s="217"/>
      <c r="C43" s="216"/>
      <c r="D43" s="217" t="s">
        <v>193</v>
      </c>
      <c r="E43" s="217" t="s">
        <v>194</v>
      </c>
      <c r="F43" s="218">
        <v>800</v>
      </c>
      <c r="G43" s="218">
        <v>800</v>
      </c>
      <c r="H43" s="218">
        <f>+G43-F43</f>
        <v>0</v>
      </c>
      <c r="I43" s="235">
        <v>800</v>
      </c>
      <c r="J43" s="224">
        <f>+I43-F43</f>
        <v>0</v>
      </c>
      <c r="K43" s="224">
        <f>+I43-G43</f>
        <v>0</v>
      </c>
    </row>
    <row r="44" spans="1:11" ht="15">
      <c r="A44" s="212"/>
      <c r="B44" s="217"/>
      <c r="C44" s="216"/>
      <c r="D44" s="216"/>
      <c r="E44" s="216"/>
      <c r="F44" s="233"/>
      <c r="G44" s="233"/>
      <c r="H44" s="233"/>
      <c r="I44" s="212"/>
      <c r="J44" s="212"/>
      <c r="K44" s="212"/>
    </row>
    <row r="45" spans="1:11" ht="15">
      <c r="A45" s="212"/>
      <c r="B45" s="217"/>
      <c r="C45" s="216" t="s">
        <v>155</v>
      </c>
      <c r="D45" s="216" t="s">
        <v>156</v>
      </c>
      <c r="E45" s="216"/>
      <c r="F45" s="233">
        <f aca="true" t="shared" si="9" ref="F45:K45">SUBTOTAL(9,F46:F48)</f>
        <v>50000</v>
      </c>
      <c r="G45" s="233">
        <f t="shared" si="9"/>
        <v>95475</v>
      </c>
      <c r="H45" s="233">
        <f t="shared" si="9"/>
        <v>45475</v>
      </c>
      <c r="I45" s="233">
        <f t="shared" si="9"/>
        <v>95475</v>
      </c>
      <c r="J45" s="233">
        <f t="shared" si="9"/>
        <v>45475</v>
      </c>
      <c r="K45" s="233">
        <f t="shared" si="9"/>
        <v>0</v>
      </c>
    </row>
    <row r="46" spans="1:11" ht="15">
      <c r="A46" s="212"/>
      <c r="B46" s="217"/>
      <c r="C46" s="216"/>
      <c r="D46" s="216"/>
      <c r="E46" s="216"/>
      <c r="F46" s="233"/>
      <c r="G46" s="233"/>
      <c r="H46" s="233"/>
      <c r="I46" s="212"/>
      <c r="J46" s="212"/>
      <c r="K46" s="212"/>
    </row>
    <row r="47" spans="1:11" ht="15">
      <c r="A47" s="212"/>
      <c r="B47" s="217"/>
      <c r="C47" s="216"/>
      <c r="D47" s="217" t="s">
        <v>197</v>
      </c>
      <c r="E47" s="217" t="s">
        <v>198</v>
      </c>
      <c r="F47" s="218">
        <v>50000</v>
      </c>
      <c r="G47" s="218">
        <v>95475</v>
      </c>
      <c r="H47" s="218">
        <f>+G47-F47</f>
        <v>45475</v>
      </c>
      <c r="I47" s="234">
        <v>95475</v>
      </c>
      <c r="J47" s="224">
        <f>+I47-F47</f>
        <v>45475</v>
      </c>
      <c r="K47" s="224">
        <f>+I47-G47</f>
        <v>0</v>
      </c>
    </row>
    <row r="48" spans="1:11" ht="15">
      <c r="A48" s="212"/>
      <c r="B48" s="217"/>
      <c r="C48" s="216"/>
      <c r="D48" s="216"/>
      <c r="E48" s="216"/>
      <c r="F48" s="233"/>
      <c r="G48" s="233"/>
      <c r="H48" s="233"/>
      <c r="I48" s="212"/>
      <c r="J48" s="212"/>
      <c r="K48" s="212"/>
    </row>
    <row r="49" spans="1:11" ht="15">
      <c r="A49" s="212"/>
      <c r="B49" s="212"/>
      <c r="C49" s="212"/>
      <c r="D49" s="212"/>
      <c r="E49" s="212"/>
      <c r="F49" s="219"/>
      <c r="G49" s="219"/>
      <c r="H49" s="219"/>
      <c r="I49" s="212"/>
      <c r="J49" s="212"/>
      <c r="K49" s="212"/>
    </row>
    <row r="50" spans="1:11" ht="15">
      <c r="A50" s="212"/>
      <c r="B50" s="213" t="s">
        <v>157</v>
      </c>
      <c r="C50" s="213" t="s">
        <v>158</v>
      </c>
      <c r="D50" s="213"/>
      <c r="E50" s="214"/>
      <c r="F50" s="215">
        <f aca="true" t="shared" si="10" ref="F50:K50">SUBTOTAL(9,F51:F56)</f>
        <v>39793747</v>
      </c>
      <c r="G50" s="215">
        <f t="shared" si="10"/>
        <v>39793747</v>
      </c>
      <c r="H50" s="215">
        <f t="shared" si="10"/>
        <v>0</v>
      </c>
      <c r="I50" s="215">
        <f t="shared" si="10"/>
        <v>39793747</v>
      </c>
      <c r="J50" s="215">
        <f t="shared" si="10"/>
        <v>0</v>
      </c>
      <c r="K50" s="215">
        <f t="shared" si="10"/>
        <v>0</v>
      </c>
    </row>
    <row r="51" spans="1:11" ht="15">
      <c r="A51" s="216"/>
      <c r="B51" s="216"/>
      <c r="C51" s="217"/>
      <c r="D51" s="217"/>
      <c r="E51" s="217"/>
      <c r="F51" s="218"/>
      <c r="G51" s="218"/>
      <c r="H51" s="218"/>
      <c r="I51" s="212"/>
      <c r="J51" s="212"/>
      <c r="K51" s="212"/>
    </row>
    <row r="52" spans="1:11" ht="15">
      <c r="A52" s="212"/>
      <c r="B52" s="217"/>
      <c r="C52" s="216" t="s">
        <v>159</v>
      </c>
      <c r="D52" s="216" t="s">
        <v>160</v>
      </c>
      <c r="E52" s="216"/>
      <c r="F52" s="233">
        <f aca="true" t="shared" si="11" ref="F52:K52">SUBTOTAL(9,F53:F55)</f>
        <v>39793747</v>
      </c>
      <c r="G52" s="233">
        <f t="shared" si="11"/>
        <v>39793747</v>
      </c>
      <c r="H52" s="233">
        <f t="shared" si="11"/>
        <v>0</v>
      </c>
      <c r="I52" s="233">
        <f t="shared" si="11"/>
        <v>39793747</v>
      </c>
      <c r="J52" s="233">
        <f t="shared" si="11"/>
        <v>0</v>
      </c>
      <c r="K52" s="233">
        <f t="shared" si="11"/>
        <v>0</v>
      </c>
    </row>
    <row r="53" spans="1:11" ht="15">
      <c r="A53" s="212"/>
      <c r="B53" s="217"/>
      <c r="C53" s="216"/>
      <c r="D53" s="216"/>
      <c r="E53" s="216"/>
      <c r="F53" s="233"/>
      <c r="G53" s="233"/>
      <c r="H53" s="233"/>
      <c r="I53" s="212"/>
      <c r="J53" s="212"/>
      <c r="K53" s="212"/>
    </row>
    <row r="54" spans="1:11" ht="15">
      <c r="A54" s="212"/>
      <c r="B54" s="217"/>
      <c r="C54" s="216"/>
      <c r="D54" s="217" t="s">
        <v>199</v>
      </c>
      <c r="E54" s="217" t="s">
        <v>200</v>
      </c>
      <c r="F54" s="218">
        <v>39793747</v>
      </c>
      <c r="G54" s="218">
        <v>39793747</v>
      </c>
      <c r="H54" s="218">
        <f>+G54-F54</f>
        <v>0</v>
      </c>
      <c r="I54" s="234">
        <v>39793747</v>
      </c>
      <c r="J54" s="224">
        <f>+I54-F54</f>
        <v>0</v>
      </c>
      <c r="K54" s="224">
        <f>+I54-G54</f>
        <v>0</v>
      </c>
    </row>
    <row r="55" spans="1:11" ht="15">
      <c r="A55" s="212"/>
      <c r="B55" s="217"/>
      <c r="C55" s="216"/>
      <c r="D55" s="216"/>
      <c r="E55" s="216"/>
      <c r="F55" s="233"/>
      <c r="G55" s="233"/>
      <c r="H55" s="233"/>
      <c r="I55" s="212"/>
      <c r="J55" s="212"/>
      <c r="K55" s="212"/>
    </row>
    <row r="56" spans="1:11" ht="15">
      <c r="A56" s="212"/>
      <c r="B56" s="212"/>
      <c r="C56" s="212"/>
      <c r="D56" s="212"/>
      <c r="E56" s="212"/>
      <c r="F56" s="219"/>
      <c r="G56" s="219"/>
      <c r="H56" s="219"/>
      <c r="I56" s="212"/>
      <c r="J56" s="212"/>
      <c r="K56" s="212"/>
    </row>
    <row r="57" spans="1:11" ht="15">
      <c r="A57" s="212"/>
      <c r="B57" s="212"/>
      <c r="C57" s="212"/>
      <c r="D57" s="212"/>
      <c r="E57" s="212"/>
      <c r="F57" s="219"/>
      <c r="G57" s="219"/>
      <c r="H57" s="219"/>
      <c r="I57" s="212"/>
      <c r="J57" s="212"/>
      <c r="K57" s="212"/>
    </row>
    <row r="58" spans="1:11" ht="15">
      <c r="A58" s="212"/>
      <c r="B58" s="212"/>
      <c r="C58" s="212" t="s">
        <v>201</v>
      </c>
      <c r="D58" s="212"/>
      <c r="E58" s="212"/>
      <c r="F58" s="219"/>
      <c r="G58" s="219"/>
      <c r="H58" s="219"/>
      <c r="I58" s="212"/>
      <c r="J58" s="212"/>
      <c r="K58" s="224"/>
    </row>
    <row r="59" spans="1:11" ht="15">
      <c r="A59" s="220" t="s">
        <v>55</v>
      </c>
      <c r="B59" s="220"/>
      <c r="C59" s="220"/>
      <c r="D59" s="220"/>
      <c r="E59" s="220"/>
      <c r="F59" s="221">
        <f aca="true" t="shared" si="12" ref="F59:K59">SUBTOTAL(9,F14:F58)</f>
        <v>47734410.81</v>
      </c>
      <c r="G59" s="221">
        <f t="shared" si="12"/>
        <v>49227156.76</v>
      </c>
      <c r="H59" s="221">
        <f t="shared" si="12"/>
        <v>1492745.9500000007</v>
      </c>
      <c r="I59" s="221">
        <f t="shared" si="12"/>
        <v>50541879.620000005</v>
      </c>
      <c r="J59" s="221">
        <f t="shared" si="12"/>
        <v>2807468.81</v>
      </c>
      <c r="K59" s="221">
        <f t="shared" si="12"/>
        <v>1314722.8599999996</v>
      </c>
    </row>
    <row r="60" spans="1:11" ht="15">
      <c r="A60" s="220" t="s">
        <v>202</v>
      </c>
      <c r="B60" s="220"/>
      <c r="C60" s="220"/>
      <c r="D60" s="220"/>
      <c r="E60" s="220"/>
      <c r="F60" s="221">
        <v>236662.3</v>
      </c>
      <c r="G60" s="221">
        <v>236662.3</v>
      </c>
      <c r="H60" s="221">
        <f>+G60-F60</f>
        <v>0</v>
      </c>
      <c r="I60" s="236">
        <v>294331.19999999995</v>
      </c>
      <c r="J60" s="221">
        <f>+I60-F60</f>
        <v>57668.899999999965</v>
      </c>
      <c r="K60" s="221">
        <f>+I60-G60</f>
        <v>57668.899999999965</v>
      </c>
    </row>
    <row r="61" spans="1:11" ht="15">
      <c r="A61" s="220" t="s">
        <v>203</v>
      </c>
      <c r="B61" s="220"/>
      <c r="C61" s="220"/>
      <c r="D61" s="220"/>
      <c r="E61" s="220"/>
      <c r="F61" s="221">
        <v>236662.3</v>
      </c>
      <c r="G61" s="221">
        <v>236662.3</v>
      </c>
      <c r="H61" s="221">
        <f>+G61-F61</f>
        <v>0</v>
      </c>
      <c r="I61" s="236">
        <v>294331.19999999995</v>
      </c>
      <c r="J61" s="221">
        <f>+I61-F61</f>
        <v>57668.899999999965</v>
      </c>
      <c r="K61" s="221">
        <f>+I61-G61</f>
        <v>57668.899999999965</v>
      </c>
    </row>
    <row r="62" spans="1:11" ht="15">
      <c r="A62" s="220" t="s">
        <v>204</v>
      </c>
      <c r="B62" s="220"/>
      <c r="C62" s="220"/>
      <c r="D62" s="220"/>
      <c r="E62" s="220"/>
      <c r="F62" s="221">
        <f aca="true" t="shared" si="13" ref="F62:K62">F59+F60-F61</f>
        <v>47734410.81</v>
      </c>
      <c r="G62" s="221">
        <f t="shared" si="13"/>
        <v>49227156.76</v>
      </c>
      <c r="H62" s="221">
        <f t="shared" si="13"/>
        <v>1492745.9500000007</v>
      </c>
      <c r="I62" s="221">
        <f t="shared" si="13"/>
        <v>50541879.620000005</v>
      </c>
      <c r="J62" s="221">
        <f t="shared" si="13"/>
        <v>2807468.81</v>
      </c>
      <c r="K62" s="221">
        <f t="shared" si="13"/>
        <v>1314722.8599999996</v>
      </c>
    </row>
    <row r="63" ht="15">
      <c r="K63" s="222"/>
    </row>
    <row r="64" ht="15">
      <c r="K64" s="211"/>
    </row>
  </sheetData>
  <sheetProtection/>
  <mergeCells count="1">
    <mergeCell ref="A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Dijana Novotny</cp:lastModifiedBy>
  <cp:lastPrinted>2021-12-21T09:37:26Z</cp:lastPrinted>
  <dcterms:created xsi:type="dcterms:W3CDTF">2014-09-10T12:00:17Z</dcterms:created>
  <dcterms:modified xsi:type="dcterms:W3CDTF">2023-01-10T10:18:32Z</dcterms:modified>
  <cp:category/>
  <cp:version/>
  <cp:contentType/>
  <cp:contentStatus/>
</cp:coreProperties>
</file>